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imebu-my.sharepoint.com/personal/controlinterno_imebu_onmicrosoft_com/Documents/Documentos/2025/"/>
    </mc:Choice>
  </mc:AlternateContent>
  <xr:revisionPtr revIDLastSave="85" documentId="8_{2BA3B82F-2D28-44E0-B6F5-DDDEF2C1750C}" xr6:coauthVersionLast="47" xr6:coauthVersionMax="47" xr10:uidLastSave="{D0FA658A-A2A0-490A-8CEC-9E9790B22476}"/>
  <bookViews>
    <workbookView xWindow="-120" yWindow="-120" windowWidth="20730" windowHeight="11040" activeTab="3" xr2:uid="{00000000-000D-0000-FFFF-FFFF00000000}"/>
  </bookViews>
  <sheets>
    <sheet name="Instructivo" sheetId="2" r:id="rId1"/>
    <sheet name="Estado SCI" sheetId="1" r:id="rId2"/>
    <sheet name="Análisis Resultados" sheetId="3" r:id="rId3"/>
    <sheet name="Conclusión" sheetId="5" r:id="rId4"/>
    <sheet name="Hoja1" sheetId="6" state="hidden" r:id="rId5"/>
  </sheets>
  <externalReferences>
    <externalReference r:id="rId6"/>
  </externalReferences>
  <definedNames>
    <definedName name="_xlnm._FilterDatabase" localSheetId="4" hidden="1">Hoja1!$A$1:$K$45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59" i="1" l="1"/>
  <c r="J58" i="1"/>
  <c r="J57" i="1"/>
  <c r="J56" i="1"/>
  <c r="J55" i="1"/>
  <c r="J54" i="1"/>
  <c r="J53" i="1"/>
  <c r="J52" i="1"/>
  <c r="J51" i="1"/>
  <c r="J50" i="1"/>
  <c r="I59" i="1"/>
  <c r="I58" i="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6" i="1"/>
  <c r="A59" i="1" l="1"/>
  <c r="A58" i="1"/>
  <c r="A57" i="1"/>
  <c r="A56" i="1"/>
  <c r="A55" i="1"/>
  <c r="A54" i="1"/>
  <c r="A53" i="1"/>
  <c r="A52" i="1"/>
  <c r="A51" i="1"/>
  <c r="A50" i="1"/>
  <c r="A49" i="1"/>
  <c r="A48" i="1"/>
  <c r="A47" i="1"/>
  <c r="A46" i="1"/>
  <c r="A45" i="1"/>
  <c r="A44" i="1"/>
  <c r="A43" i="1"/>
  <c r="A42" i="1"/>
  <c r="A41" i="1"/>
  <c r="A40" i="1"/>
  <c r="A39" i="1"/>
  <c r="J37" i="1"/>
  <c r="L37" i="1" s="1"/>
  <c r="J36" i="1"/>
  <c r="L36" i="1" s="1"/>
  <c r="J35" i="1"/>
  <c r="L35" i="1" s="1"/>
  <c r="J34" i="1"/>
  <c r="L34" i="1" s="1"/>
  <c r="J33" i="1"/>
  <c r="L33" i="1" s="1"/>
  <c r="J32" i="1"/>
  <c r="L32" i="1" s="1"/>
  <c r="A38" i="1"/>
  <c r="A37" i="1"/>
  <c r="A36" i="1"/>
  <c r="A35" i="1"/>
  <c r="A34" i="1"/>
  <c r="A33" i="1"/>
  <c r="A32" i="1"/>
  <c r="L59" i="1"/>
  <c r="L58" i="1"/>
  <c r="L57" i="1"/>
  <c r="L56" i="1"/>
  <c r="L55" i="1"/>
  <c r="L54" i="1"/>
  <c r="L53" i="1"/>
  <c r="L52" i="1"/>
  <c r="L51" i="1"/>
  <c r="L50" i="1"/>
  <c r="J49" i="1"/>
  <c r="L49" i="1" s="1"/>
  <c r="J48" i="1"/>
  <c r="L48" i="1" s="1"/>
  <c r="J47" i="1"/>
  <c r="L47" i="1" s="1"/>
  <c r="J46" i="1"/>
  <c r="L46" i="1" s="1"/>
  <c r="J45" i="1"/>
  <c r="L45" i="1" s="1"/>
  <c r="J44" i="1"/>
  <c r="L44" i="1" s="1"/>
  <c r="J43" i="1"/>
  <c r="L43" i="1" s="1"/>
  <c r="J42" i="1"/>
  <c r="L42" i="1" s="1"/>
  <c r="J41" i="1"/>
  <c r="L41" i="1" s="1"/>
  <c r="J40" i="1"/>
  <c r="L40" i="1" s="1"/>
  <c r="J39" i="1"/>
  <c r="L39" i="1" s="1"/>
  <c r="J38" i="1"/>
  <c r="L38" i="1" s="1"/>
  <c r="J31" i="1"/>
  <c r="L31" i="1" s="1"/>
  <c r="J30" i="1"/>
  <c r="L30" i="1" s="1"/>
  <c r="J29" i="1"/>
  <c r="L29" i="1" s="1"/>
  <c r="J28" i="1"/>
  <c r="L28" i="1" s="1"/>
  <c r="J27" i="1"/>
  <c r="L27" i="1" s="1"/>
  <c r="J26" i="1"/>
  <c r="L26" i="1" s="1"/>
  <c r="J25" i="1"/>
  <c r="L25" i="1" s="1"/>
  <c r="J24" i="1"/>
  <c r="L24" i="1" s="1"/>
  <c r="J23" i="1"/>
  <c r="L23" i="1" s="1"/>
  <c r="J22" i="1"/>
  <c r="L22" i="1" s="1"/>
  <c r="J21" i="1"/>
  <c r="L21" i="1" s="1"/>
  <c r="J20" i="1"/>
  <c r="L20" i="1" s="1"/>
  <c r="J19" i="1"/>
  <c r="L19" i="1" s="1"/>
  <c r="J18" i="1"/>
  <c r="L18" i="1" s="1"/>
  <c r="J17" i="1"/>
  <c r="L17" i="1" s="1"/>
  <c r="J16" i="1"/>
  <c r="L16" i="1" s="1"/>
  <c r="A31" i="1" l="1"/>
  <c r="A30" i="1"/>
  <c r="A29" i="1"/>
  <c r="A28" i="1"/>
  <c r="A27" i="1"/>
  <c r="A26" i="1"/>
  <c r="A25" i="1"/>
  <c r="A24" i="1"/>
  <c r="A23" i="1"/>
  <c r="A22" i="1"/>
  <c r="A21" i="1"/>
  <c r="A20" i="1"/>
  <c r="A19" i="1"/>
  <c r="A18" i="1"/>
  <c r="A17" i="1"/>
  <c r="A16" i="1"/>
  <c r="I3" i="6" l="1"/>
  <c r="J3" i="6" s="1"/>
  <c r="I11" i="6"/>
  <c r="J11" i="6" s="1"/>
  <c r="I19" i="6"/>
  <c r="J19" i="6" s="1"/>
  <c r="I25" i="6"/>
  <c r="J25" i="6" s="1"/>
  <c r="I33" i="6"/>
  <c r="J33" i="6" s="1"/>
  <c r="I41" i="6"/>
  <c r="J41" i="6" s="1"/>
  <c r="B29" i="6"/>
  <c r="I4" i="6"/>
  <c r="J4" i="6" s="1"/>
  <c r="I12" i="6"/>
  <c r="J12" i="6" s="1"/>
  <c r="I20" i="6"/>
  <c r="J20" i="6" s="1"/>
  <c r="I26" i="6"/>
  <c r="J26" i="6" s="1"/>
  <c r="I34" i="6"/>
  <c r="J34" i="6" s="1"/>
  <c r="I42" i="6"/>
  <c r="J42" i="6" s="1"/>
  <c r="B36" i="6"/>
  <c r="I5" i="6"/>
  <c r="J5" i="6" s="1"/>
  <c r="I13" i="6"/>
  <c r="J13" i="6" s="1"/>
  <c r="I27" i="6"/>
  <c r="J27" i="6" s="1"/>
  <c r="I35" i="6"/>
  <c r="J35" i="6" s="1"/>
  <c r="I43" i="6"/>
  <c r="J43" i="6" s="1"/>
  <c r="B2" i="6"/>
  <c r="I6" i="6"/>
  <c r="J6" i="6" s="1"/>
  <c r="I14" i="6"/>
  <c r="J14" i="6" s="1"/>
  <c r="I21" i="6"/>
  <c r="J21" i="6" s="1"/>
  <c r="I28" i="6"/>
  <c r="J28" i="6" s="1"/>
  <c r="I36" i="6"/>
  <c r="J36" i="6" s="1"/>
  <c r="I44" i="6"/>
  <c r="J44" i="6" s="1"/>
  <c r="I7" i="6"/>
  <c r="J7" i="6" s="1"/>
  <c r="I15" i="6"/>
  <c r="J15" i="6" s="1"/>
  <c r="I22" i="6"/>
  <c r="J22" i="6" s="1"/>
  <c r="I29" i="6"/>
  <c r="J29" i="6" s="1"/>
  <c r="I37" i="6"/>
  <c r="J37" i="6" s="1"/>
  <c r="I45" i="6"/>
  <c r="J45" i="6" s="1"/>
  <c r="I8" i="6"/>
  <c r="J8" i="6" s="1"/>
  <c r="I16" i="6"/>
  <c r="J16" i="6" s="1"/>
  <c r="I23" i="6"/>
  <c r="J23" i="6" s="1"/>
  <c r="I30" i="6"/>
  <c r="J30" i="6" s="1"/>
  <c r="I38" i="6"/>
  <c r="J38" i="6" s="1"/>
  <c r="I2" i="6"/>
  <c r="J2" i="6" s="1"/>
  <c r="I9" i="6"/>
  <c r="J9" i="6" s="1"/>
  <c r="I17" i="6"/>
  <c r="J17" i="6" s="1"/>
  <c r="I31" i="6"/>
  <c r="J31" i="6" s="1"/>
  <c r="I39" i="6"/>
  <c r="J39" i="6" s="1"/>
  <c r="B14" i="6"/>
  <c r="I10" i="6"/>
  <c r="J10" i="6" s="1"/>
  <c r="I18" i="6"/>
  <c r="J18" i="6" s="1"/>
  <c r="I24" i="6"/>
  <c r="J24" i="6" s="1"/>
  <c r="I32" i="6"/>
  <c r="J32" i="6" s="1"/>
  <c r="I40" i="6"/>
  <c r="J40" i="6" s="1"/>
  <c r="B24" i="6"/>
  <c r="G41" i="6"/>
  <c r="G40" i="6"/>
  <c r="G32" i="6"/>
  <c r="G24" i="6"/>
  <c r="G18" i="6"/>
  <c r="G10" i="6"/>
  <c r="G2" i="6"/>
  <c r="F10" i="6"/>
  <c r="F18" i="6"/>
  <c r="F24" i="6"/>
  <c r="F32" i="6"/>
  <c r="F40" i="6"/>
  <c r="G29" i="6"/>
  <c r="G7" i="6"/>
  <c r="F27" i="6"/>
  <c r="G28" i="6"/>
  <c r="G14" i="6"/>
  <c r="F14" i="6"/>
  <c r="F36" i="6"/>
  <c r="G27" i="6"/>
  <c r="G5" i="6"/>
  <c r="F22" i="6"/>
  <c r="F45" i="6"/>
  <c r="G34" i="6"/>
  <c r="G20" i="6"/>
  <c r="F8" i="6"/>
  <c r="F30" i="6"/>
  <c r="G33" i="6"/>
  <c r="G11" i="6"/>
  <c r="F17" i="6"/>
  <c r="G39" i="6"/>
  <c r="G31" i="6"/>
  <c r="G17" i="6"/>
  <c r="G9" i="6"/>
  <c r="F3" i="6"/>
  <c r="F11" i="6"/>
  <c r="F19" i="6"/>
  <c r="F25" i="6"/>
  <c r="F33" i="6"/>
  <c r="F41" i="6"/>
  <c r="G37" i="6"/>
  <c r="G15" i="6"/>
  <c r="F5" i="6"/>
  <c r="F43" i="6"/>
  <c r="G44" i="6"/>
  <c r="G21" i="6"/>
  <c r="F6" i="6"/>
  <c r="F28" i="6"/>
  <c r="G35" i="6"/>
  <c r="G13" i="6"/>
  <c r="F7" i="6"/>
  <c r="F29" i="6"/>
  <c r="G26" i="6"/>
  <c r="G4" i="6"/>
  <c r="F23" i="6"/>
  <c r="F2" i="6"/>
  <c r="G19" i="6"/>
  <c r="F9" i="6"/>
  <c r="F39" i="6"/>
  <c r="G38" i="6"/>
  <c r="G30" i="6"/>
  <c r="G23" i="6"/>
  <c r="G16" i="6"/>
  <c r="G8" i="6"/>
  <c r="F4" i="6"/>
  <c r="F12" i="6"/>
  <c r="F20" i="6"/>
  <c r="F26" i="6"/>
  <c r="F34" i="6"/>
  <c r="F42" i="6"/>
  <c r="G45" i="6"/>
  <c r="G22" i="6"/>
  <c r="F13" i="6"/>
  <c r="F35" i="6"/>
  <c r="G36" i="6"/>
  <c r="G6" i="6"/>
  <c r="F21" i="6"/>
  <c r="F44" i="6"/>
  <c r="G43" i="6"/>
  <c r="F15" i="6"/>
  <c r="F37" i="6"/>
  <c r="G42" i="6"/>
  <c r="G12" i="6"/>
  <c r="F16" i="6"/>
  <c r="F38" i="6"/>
  <c r="G25" i="6"/>
  <c r="G3" i="6"/>
  <c r="F31" i="6"/>
  <c r="K24" i="6" l="1"/>
  <c r="G30" i="5" s="1"/>
  <c r="K29" i="6"/>
  <c r="K36" i="6"/>
  <c r="K14" i="6"/>
  <c r="K9" i="6"/>
  <c r="K6" i="6"/>
  <c r="K35" i="6"/>
  <c r="K19" i="6"/>
  <c r="K23" i="6"/>
  <c r="K40" i="6"/>
  <c r="K10" i="6"/>
  <c r="K7" i="6"/>
  <c r="K44" i="6"/>
  <c r="K20" i="6"/>
  <c r="K38" i="6"/>
  <c r="K3" i="6"/>
  <c r="K8" i="6"/>
  <c r="K30" i="6"/>
  <c r="K37" i="6"/>
  <c r="K25" i="6"/>
  <c r="K45" i="6"/>
  <c r="K11" i="6"/>
  <c r="K4" i="6"/>
  <c r="K12" i="6"/>
  <c r="K32" i="6"/>
  <c r="K41" i="6"/>
  <c r="K17" i="6"/>
  <c r="K15" i="6"/>
  <c r="K28" i="6"/>
  <c r="K39" i="6"/>
  <c r="K27" i="6"/>
  <c r="K5" i="6"/>
  <c r="K33" i="6"/>
  <c r="K42" i="6"/>
  <c r="K22" i="6"/>
  <c r="K2" i="6"/>
  <c r="K31" i="6"/>
  <c r="K13" i="6"/>
  <c r="K34" i="6"/>
  <c r="K43" i="6"/>
  <c r="K18" i="6"/>
  <c r="K16" i="6"/>
  <c r="K26" i="6"/>
  <c r="K21" i="6"/>
  <c r="H37" i="6"/>
  <c r="H17" i="6"/>
  <c r="H30" i="6"/>
  <c r="H2" i="6"/>
  <c r="H10" i="6"/>
  <c r="H44" i="6"/>
  <c r="H6" i="6"/>
  <c r="H7" i="6"/>
  <c r="H42" i="6"/>
  <c r="H36" i="6"/>
  <c r="H11" i="6"/>
  <c r="H5" i="6"/>
  <c r="H29" i="6"/>
  <c r="H18" i="6"/>
  <c r="H12" i="6"/>
  <c r="H38" i="6"/>
  <c r="H13" i="6"/>
  <c r="H33" i="6"/>
  <c r="H27" i="6"/>
  <c r="H24" i="6"/>
  <c r="H3" i="6"/>
  <c r="H8" i="6"/>
  <c r="H26" i="6"/>
  <c r="H39" i="6"/>
  <c r="H19" i="6"/>
  <c r="H35" i="6"/>
  <c r="H15" i="6"/>
  <c r="H9" i="6"/>
  <c r="H32" i="6"/>
  <c r="H40" i="6"/>
  <c r="H22" i="6"/>
  <c r="H25" i="6"/>
  <c r="H45" i="6"/>
  <c r="H20" i="6"/>
  <c r="H14" i="6"/>
  <c r="H43" i="6"/>
  <c r="H16" i="6"/>
  <c r="H23" i="6"/>
  <c r="H4" i="6"/>
  <c r="H21" i="6"/>
  <c r="H31" i="6"/>
  <c r="H34" i="6"/>
  <c r="H28" i="6"/>
  <c r="H41" i="6"/>
  <c r="E30" i="5" l="1"/>
  <c r="E26" i="5"/>
  <c r="G26" i="5"/>
  <c r="E28" i="5"/>
  <c r="G28" i="5"/>
  <c r="G34" i="5"/>
  <c r="E34" i="5"/>
  <c r="E32" i="5"/>
  <c r="G32" i="5"/>
  <c r="F56" i="3"/>
  <c r="F48" i="3"/>
  <c r="F40" i="3"/>
  <c r="F32" i="3"/>
  <c r="F24" i="3"/>
  <c r="F55" i="3"/>
  <c r="F47" i="3"/>
  <c r="F39" i="3"/>
  <c r="F31" i="3"/>
  <c r="F23" i="3"/>
  <c r="F34" i="3"/>
  <c r="F62" i="3"/>
  <c r="F54" i="3"/>
  <c r="F46" i="3"/>
  <c r="F38" i="3"/>
  <c r="F30" i="3"/>
  <c r="F22" i="3"/>
  <c r="F53" i="3"/>
  <c r="F45" i="3"/>
  <c r="F37" i="3"/>
  <c r="F29" i="3"/>
  <c r="F57" i="3"/>
  <c r="F33" i="3"/>
  <c r="F61" i="3"/>
  <c r="F21" i="3"/>
  <c r="F58" i="3"/>
  <c r="F50" i="3"/>
  <c r="F26" i="3"/>
  <c r="F60" i="3"/>
  <c r="F52" i="3"/>
  <c r="F44" i="3"/>
  <c r="F36" i="3"/>
  <c r="F28" i="3"/>
  <c r="F20" i="3"/>
  <c r="F25" i="3"/>
  <c r="F59" i="3"/>
  <c r="F51" i="3"/>
  <c r="F43" i="3"/>
  <c r="F35" i="3"/>
  <c r="F27" i="3"/>
  <c r="F19" i="3"/>
  <c r="F42" i="3"/>
  <c r="F49" i="3"/>
  <c r="F41" i="3"/>
  <c r="E56" i="3"/>
  <c r="E40" i="3"/>
  <c r="E55" i="3"/>
  <c r="E47" i="3"/>
  <c r="E39" i="3"/>
  <c r="E31" i="3"/>
  <c r="E23" i="3"/>
  <c r="E51" i="3"/>
  <c r="E27" i="3"/>
  <c r="E58" i="3"/>
  <c r="E26" i="3"/>
  <c r="E57" i="3"/>
  <c r="E25" i="3"/>
  <c r="E24" i="3"/>
  <c r="E62" i="3"/>
  <c r="E54" i="3"/>
  <c r="E46" i="3"/>
  <c r="E38" i="3"/>
  <c r="E30" i="3"/>
  <c r="E22" i="3"/>
  <c r="E60" i="3"/>
  <c r="E20" i="3"/>
  <c r="E43" i="3"/>
  <c r="E50" i="3"/>
  <c r="E34" i="3"/>
  <c r="E49" i="3"/>
  <c r="E48" i="3"/>
  <c r="E61" i="3"/>
  <c r="E53" i="3"/>
  <c r="E45" i="3"/>
  <c r="E37" i="3"/>
  <c r="E29" i="3"/>
  <c r="E21" i="3"/>
  <c r="E52" i="3"/>
  <c r="E44" i="3"/>
  <c r="E36" i="3"/>
  <c r="E28" i="3"/>
  <c r="E59" i="3"/>
  <c r="E35" i="3"/>
  <c r="E19" i="3"/>
  <c r="E42" i="3"/>
  <c r="E41" i="3"/>
  <c r="E33" i="3"/>
  <c r="E32" i="3"/>
  <c r="I61" i="3" l="1"/>
  <c r="G61" i="3"/>
  <c r="I59" i="3"/>
  <c r="G59" i="3"/>
  <c r="I45" i="3"/>
  <c r="G45" i="3"/>
  <c r="G20" i="3"/>
  <c r="I20" i="3"/>
  <c r="G24" i="3"/>
  <c r="I24" i="3"/>
  <c r="I31" i="3"/>
  <c r="G31" i="3"/>
  <c r="I32" i="3"/>
  <c r="G32" i="3"/>
  <c r="G28" i="3"/>
  <c r="I28" i="3"/>
  <c r="I53" i="3"/>
  <c r="G53" i="3"/>
  <c r="I60" i="3"/>
  <c r="G60" i="3"/>
  <c r="G25" i="3"/>
  <c r="I25" i="3"/>
  <c r="I39" i="3"/>
  <c r="G39" i="3"/>
  <c r="G22" i="3"/>
  <c r="I22" i="3"/>
  <c r="I57" i="3"/>
  <c r="G57" i="3"/>
  <c r="I47" i="3"/>
  <c r="G47" i="3"/>
  <c r="I33" i="3"/>
  <c r="G33" i="3"/>
  <c r="I44" i="3"/>
  <c r="G44" i="3"/>
  <c r="I48" i="3"/>
  <c r="G48" i="3"/>
  <c r="I30" i="3"/>
  <c r="G30" i="3"/>
  <c r="G26" i="3"/>
  <c r="I26" i="3"/>
  <c r="I55" i="3"/>
  <c r="G55" i="3"/>
  <c r="I41" i="3"/>
  <c r="G41" i="3"/>
  <c r="I52" i="3"/>
  <c r="G52" i="3"/>
  <c r="I49" i="3"/>
  <c r="G49" i="3"/>
  <c r="I38" i="3"/>
  <c r="G38" i="3"/>
  <c r="I58" i="3"/>
  <c r="G58" i="3"/>
  <c r="I42" i="3"/>
  <c r="G42" i="3"/>
  <c r="G21" i="3"/>
  <c r="I21" i="3"/>
  <c r="I34" i="3"/>
  <c r="G34" i="3"/>
  <c r="I46" i="3"/>
  <c r="G46" i="3"/>
  <c r="I27" i="3"/>
  <c r="G27" i="3"/>
  <c r="I40" i="3"/>
  <c r="G40" i="3"/>
  <c r="I36" i="3"/>
  <c r="G36" i="3"/>
  <c r="I19" i="3"/>
  <c r="G19" i="3"/>
  <c r="G29" i="3"/>
  <c r="I29" i="3"/>
  <c r="I50" i="3"/>
  <c r="G50" i="3"/>
  <c r="I54" i="3"/>
  <c r="G54" i="3"/>
  <c r="I51" i="3"/>
  <c r="G51" i="3"/>
  <c r="I56" i="3"/>
  <c r="G56" i="3"/>
  <c r="I35" i="3"/>
  <c r="G35" i="3"/>
  <c r="I37" i="3"/>
  <c r="G37" i="3"/>
  <c r="I43" i="3"/>
  <c r="G43" i="3"/>
  <c r="I62" i="3"/>
  <c r="G62" i="3"/>
  <c r="G23" i="3"/>
  <c r="I23" i="3"/>
  <c r="J41" i="3" l="1"/>
  <c r="J53" i="3"/>
  <c r="J46" i="3"/>
  <c r="J31" i="3"/>
  <c r="J19" i="3"/>
  <c r="M8" i="5" l="1"/>
</calcChain>
</file>

<file path=xl/sharedStrings.xml><?xml version="1.0" encoding="utf-8"?>
<sst xmlns="http://schemas.openxmlformats.org/spreadsheetml/2006/main" count="514" uniqueCount="244">
  <si>
    <t>EVALUACIÓN INDEPENDIENTE SISTEMA DE CONTROL INTERNO
Entidades Pequeñas
(instrucciones para su diligenciamiento)</t>
  </si>
  <si>
    <t>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Esta estructura requiere de un análisis articulado frente al desarrollo de las políticas de gestión y desempeño contenidas en el modelo y su efectividad en relación con la estructura de control, este útlimo, aspecto esecial para garantizar el buen manejo de los recursos, que las metas y objetivos se cumplan y se mejore la prestación del servicio a los usuarios, ejes fundamentales para la generación de valor público.
Teniendo en cuenta lo anterior y dada la necesidad de dar cumplimiento a la dispuesto en el articulo 156 del Decreto 2106 de 2019, el presente formatobusca que las entidades cuenten con una herramienta para evaluar sus Sistemas de Control Interno de manera integral y permitirle al Jefe de Control Interno o quien haga sus veces llevar a cabo el informe de evaluación independiente sobre el mismo para su publicación cada seis (6) meses, en el sitio web de la entidad. La estructura propuesta es diferencial para aquellas entidades de municipios de 6a categoría (Personerías y Concejos Municipales) que son entidades con 1 y hasta 5 servidores en sus plantas de personal. Estas entidades deben tener en cuenta que de acuerdo con el parágrafo del artículo ARTÍCULO 2.2.22.2.1. del Decreto 1499 de 2017, las políticas de gestión y desempeño contenidas en el Modelo Integrado de Planeación y Gestión MIPG, deben ser aplicadas acorde con las normas que las regulan, por lo que deben analizar dichas políticas e implementarlas en armonía con el MECI.</t>
  </si>
  <si>
    <t>Orientaciones Generales</t>
  </si>
  <si>
    <r>
      <t xml:space="preserve">El archivo contiene las siguientes hojas:
 -  1 </t>
    </r>
    <r>
      <rPr>
        <b/>
        <sz val="11"/>
        <rFont val="Arial Narrow"/>
        <family val="2"/>
      </rPr>
      <t xml:space="preserve">Pestaña que desarrolla la estructura para evaluar el estado del Sistema de Control Interno: </t>
    </r>
    <r>
      <rPr>
        <sz val="11"/>
        <rFont val="Arial Narrow"/>
        <family val="2"/>
      </rPr>
      <t xml:space="preserve">Se desagrega en </t>
    </r>
    <r>
      <rPr>
        <sz val="10"/>
        <rFont val="Arial Narrow"/>
        <family val="2"/>
      </rPr>
      <t>"Ambiente de Control", "Evaluación de riesgos", "Actividades de control", "Información y Comunicación", y " Actividades de Monitoreo", componentes actuales del Modelo Estándar de Control Interno MECI. La estructura es la siguiente para el diligenciamiento:</t>
    </r>
  </si>
  <si>
    <t>Columna</t>
  </si>
  <si>
    <t>Descripción</t>
  </si>
  <si>
    <t>Componente del MECI asociado</t>
  </si>
  <si>
    <t>Esta columna define los componentes del MECI.</t>
  </si>
  <si>
    <t>Lineamiento General por Componente</t>
  </si>
  <si>
    <t>En esta columna establece el lineamientos general para cada uno de los componentes del MECI</t>
  </si>
  <si>
    <t>Requerimiento Asociado al Componente</t>
  </si>
  <si>
    <t>Se muestran una serie de preguntas con 3 opciones de respuesta así:
1. SI
2.NO
3. EN PROCESO</t>
  </si>
  <si>
    <t>Evidencia de Seguimiento al Control</t>
  </si>
  <si>
    <t>Establezca actividades adelantadas de aplicación del documento o elemento antes identificado (esto cuando se responde SI o bien EN PROCESO)</t>
  </si>
  <si>
    <r>
      <t xml:space="preserve"> -</t>
    </r>
    <r>
      <rPr>
        <sz val="11"/>
        <rFont val="Arial Narrow"/>
        <family val="2"/>
      </rPr>
      <t xml:space="preserve"> </t>
    </r>
    <r>
      <rPr>
        <b/>
        <sz val="11"/>
        <rFont val="Arial Narrow"/>
        <family val="2"/>
      </rPr>
      <t>Análisis de Resultados:</t>
    </r>
    <r>
      <rPr>
        <sz val="10"/>
        <rFont val="Arial Narrow"/>
        <family val="2"/>
      </rPr>
      <t xml:space="preserve"> Esta hoja permite consolidar los resultados para cada componente evaluado.</t>
    </r>
  </si>
  <si>
    <t xml:space="preserve">Clasificación </t>
  </si>
  <si>
    <t>Observaciones del Control</t>
  </si>
  <si>
    <t>Mantenimiento del Control</t>
  </si>
  <si>
    <t>Existe requerimiento pero se requiere actividades  dirigidas a su mantenimiento dentro del marco de las lineas de defensa.</t>
  </si>
  <si>
    <t>Oportunidad de Mejora</t>
  </si>
  <si>
    <t>Se encuentra en proceso, pero requiere continuar con acciones dirigidas a contar con dicho aspecto de control</t>
  </si>
  <si>
    <t xml:space="preserve">Deficiencia del Control 
</t>
  </si>
  <si>
    <t>No se encuentra el aspecto  por lo tanto la entidad debera generar acciones dirigidas a que se cumpla con el requerimiento .</t>
  </si>
  <si>
    <r>
      <t xml:space="preserve"> -</t>
    </r>
    <r>
      <rPr>
        <sz val="11"/>
        <rFont val="Arial Narrow"/>
        <family val="2"/>
      </rPr>
      <t xml:space="preserve"> </t>
    </r>
    <r>
      <rPr>
        <b/>
        <sz val="11"/>
        <rFont val="Arial Narrow"/>
        <family val="2"/>
      </rPr>
      <t>Conclusiones:</t>
    </r>
    <r>
      <rPr>
        <sz val="10"/>
        <rFont val="Arial Narrow"/>
        <family val="2"/>
      </rPr>
      <t xml:space="preserve"> Esta hoja permite establecer el estado del Sistema de Control Interno evaluado, información a partir de la cual se definen las acciones de mejora correspondientes. Esta hoja será el informe para publicación en página web, o bien para ubicar en un lugar visible en la sede de la entidad (esto para aquellas que no cuentan con conectividad o página web en operación).</t>
    </r>
  </si>
  <si>
    <t>MEDICION ESTADO DEL SISTEMA DE CONTROL INTERNO EN LA ENTIDAD</t>
  </si>
  <si>
    <t xml:space="preserve">No. </t>
  </si>
  <si>
    <t>Literal</t>
  </si>
  <si>
    <t>Requerimiento asociado al componente</t>
  </si>
  <si>
    <t>Seguimiento al control (Si, No, En proceso)</t>
  </si>
  <si>
    <t>Evidencia de seguimiento al control
(Establezca actividades adelantadas de aplicación del documento o elemento antes identificado, esto cuando se responde SI o bien EN PROCESO</t>
  </si>
  <si>
    <t>Evaluación</t>
  </si>
  <si>
    <t>1</t>
  </si>
  <si>
    <t>AMBIENTE DE CONTROL</t>
  </si>
  <si>
    <t>El ambiente de control institucional está integrado por todas esas condiciones mínimas que debe garantizar cualquier entidad pública para el ejercicio del control interno. Para el caso de su entidad indique si se cuenta con:</t>
  </si>
  <si>
    <t>a</t>
  </si>
  <si>
    <t>Documento interno o adopción del MECI actualizado</t>
  </si>
  <si>
    <t>b</t>
  </si>
  <si>
    <t>Un documento tal como un código de ética, integridad u otro que formalice los estándares de conducta, los principios institucionales o los valores del servicio público</t>
  </si>
  <si>
    <t>Si</t>
  </si>
  <si>
    <t>c</t>
  </si>
  <si>
    <t>Planes, programas y proyectos de acuerdo con las normas que rigen y atendiendo con su propósito fundamental institucional (misión)</t>
  </si>
  <si>
    <t>d</t>
  </si>
  <si>
    <t>Una estructura organizacional formalizada (organigrama)</t>
  </si>
  <si>
    <t>e</t>
  </si>
  <si>
    <t>Un manual de funciones que describa los empleos de la entidad</t>
  </si>
  <si>
    <t>f</t>
  </si>
  <si>
    <t>La documentación de sus procesos y procedimientos o bien una lista de actividades principales que permitan conocer el estado de su gestión</t>
  </si>
  <si>
    <t>g</t>
  </si>
  <si>
    <t>Vinculación de los servidores públicos de acuerdo con el marco normativo que les rige (carrera administrativa, libre nombramiento y remoción, entre otros)</t>
  </si>
  <si>
    <t>h</t>
  </si>
  <si>
    <t>Procesos de inducción, capacitación y bienestar social para sus servidores públicos, de manera directa o en asociación con otras entidades municipales</t>
  </si>
  <si>
    <t>i</t>
  </si>
  <si>
    <t>Evaluación a los servidores públicos de acuerdo con el marco normativo que le rige</t>
  </si>
  <si>
    <t>j</t>
  </si>
  <si>
    <t>Procesos de desvinculación de servidores de acuerdo con lo previsto en la Constitución Política y las leyes</t>
  </si>
  <si>
    <t>k</t>
  </si>
  <si>
    <t>Mecanismos de rendición de cuentas a la ciudadanía</t>
  </si>
  <si>
    <t>l</t>
  </si>
  <si>
    <t>Presentación oportuna de sus informes de gestión a las autoridades competentes</t>
  </si>
  <si>
    <t>2</t>
  </si>
  <si>
    <t>EVALUACION DEL RIESGO</t>
  </si>
  <si>
    <t>Toda entidad debe identificar, evaluar y gestionar eventos potenciales, tanto internos como externos, que puedan afectar el logro de los objetivos institucionales. Para el caso de su entidad indique si se cuenta con:</t>
  </si>
  <si>
    <t>Identificación de cambios en su entorno que pueden generar consecuencias negativas en su gestión</t>
  </si>
  <si>
    <t>Identificación de aquellos problemas o aspectos que pueden afectar el cumplimiento de los planes de la entidad y en general su gestión institucional (riesgos)</t>
  </si>
  <si>
    <t>Identificación  de los riesgos relacionados con posibles actos de corrupción en el ejercicio de sus funciones</t>
  </si>
  <si>
    <t>Si su capacidad e infraestructura lo permite, identificación de riesgos asociados a las tecnologías de la información y las comunicaciones</t>
  </si>
  <si>
    <t>3</t>
  </si>
  <si>
    <t>Los líderes de los programas, proyectos, o procesos de la entidad  junto con sus equipos de trabajo:</t>
  </si>
  <si>
    <t>Hacen seguimiento a los problemas (riesgos)  que pueden afectar el cumplimiento de sus procesos, programas o proyectos a cargo</t>
  </si>
  <si>
    <t>Informan de manera periódica a quien corresponda sobre el desempeño de las actividades de gestión de riesgos</t>
  </si>
  <si>
    <t>Identifican deficiencias en las maneras de  controlar los riesgos o problemas en sus procesos, programas o proyectos, y propone los ajustes necesarios</t>
  </si>
  <si>
    <t>4</t>
  </si>
  <si>
    <t>Para el manejo de los problemas que afectan el cumplimiento de las metas u objetivos institucionales (riesgos), el jefe de control interno o quien haga sus veces, ha podido evidenciar si en la entidad:</t>
  </si>
  <si>
    <t>Se definen espacios de reunión para conocerlos y proponer acciones para su solución</t>
  </si>
  <si>
    <t>Cada líder del equipo autónomamente toma las acciones para solucionarlos.</t>
  </si>
  <si>
    <t>En proceso</t>
  </si>
  <si>
    <t>Solamente hasta que un organismo de control actúa se definen acciones de mejora.</t>
  </si>
  <si>
    <t>5</t>
  </si>
  <si>
    <t>ACTIVIDADES DE CONTROL</t>
  </si>
  <si>
    <t>Una vez identificados los problemas que afectan el cumplimiento de los planes de la entidad o su gestión institucional, la entidad debe diseñar los controles o mecanismos para darles tratamiento. Para el caso de su entidad indique si se cuenta con:</t>
  </si>
  <si>
    <t>La definición de acciones o actividades para para dar tratamiento a los problemas identificados (mitigación de riesgos), incluyendo aquellos asociados a posibles actos de corrupción</t>
  </si>
  <si>
    <t>Mecanismos de verificación de si se están o no mitigando los riesgos, o en su defecto, elaboración de planes de contingencia para subsanar sus consecuencias</t>
  </si>
  <si>
    <t>Planes, acciones o estrategias que permitan subsanar las consecuencias de la materialización de los riesgos, cuando se presentan</t>
  </si>
  <si>
    <t>Un documento que consolide  los riesgos  y el tratamiento que se les da, incluyendo aquellos que conllevan posibles actos de corrupción y si la capacidad e infraestructura lo permite, los asociados con las tecnologías de la información y las comunicaciones</t>
  </si>
  <si>
    <t>Un plan anticorrupción y de servicio al ciudadano con los temas que le aplican, publicado en algún medio para conocimiento de la ciudadanía</t>
  </si>
  <si>
    <t>6</t>
  </si>
  <si>
    <t>INFORMACION Y COMUNICACIÓN</t>
  </si>
  <si>
    <t>Las entidades deben procurar, de acuerdo con sus propias capacidades internas, que la información y la comunicación que requiere para su gestión y  control interno fluya de manera clara.  Acorde con lo anterior, indique si se cuenta con:</t>
  </si>
  <si>
    <t>Responsables de la información institucional</t>
  </si>
  <si>
    <t>Canales de comunicación con los ciudadanos</t>
  </si>
  <si>
    <t>Canales de comunicación o mecanismos de reporte de información a otros organismos gubernamentales o de control</t>
  </si>
  <si>
    <t xml:space="preserve">Lineamientos para dar tratamiento a la información de carácter reservado </t>
  </si>
  <si>
    <t>Identificación de información que produce en el marco de su gestión (Para los ciudadanos, organismos de control, organismos gubernamentales, entre otros)</t>
  </si>
  <si>
    <t>Identificación de información necesaria para la operación de la entidad (normograma, presupuesto, talento humano, infraestructura física y tecnológica)</t>
  </si>
  <si>
    <t>Si su capacidad e infraestructura lo permite, tecnologías de la información y las comunicaciones que soporten estos procesos</t>
  </si>
  <si>
    <t>7</t>
  </si>
  <si>
    <t>ACTIVIDADES DE MONITOREO</t>
  </si>
  <si>
    <t>Las entidades deben valorar: la eficiencia y eficacia de su gestión y la efectividad del control interno de la entidad pública con el propósito de detectar desviaciones y generar recomendaciones para la mejora. Para el caso de su entidad indique si se cuenta con:</t>
  </si>
  <si>
    <t>Mecanismos de evaluación de la gestión (cronogramas, indicadores, listas de chequeo u otros)</t>
  </si>
  <si>
    <t>Algún mecanismo para monitorear o supervisar el sistema de control interno institucional, ya sea por parte del representante legal, o del área de control interno (si la entidad cuenta con ella), o bien a través del Comité departamental o municipal de Auditoría.</t>
  </si>
  <si>
    <t>Medidas correctivas en caso de detectarse deficiencias en los ejercicios de evaluación, seguimiento o auditoría</t>
  </si>
  <si>
    <t>Seguimiento a los planes de mejoramiento suscritos con instancias de control internas o externas</t>
  </si>
  <si>
    <t>8</t>
  </si>
  <si>
    <t>¿La entidad ha solicitado hacer parte del Comité Municipal de Auditoría, a efectos de contar con un escenario para compartir buenas prácticas en materia de control interno, así como analizar la viabilidad de contar como mínimo con un proceso auditor en la vigencia?</t>
  </si>
  <si>
    <t>La entidad participa en el  Comité Municipal de Auditoría?</t>
  </si>
  <si>
    <t>9</t>
  </si>
  <si>
    <t>El jefe de control interno o quien haga sus veces, ha podido evidenciar si en la entidad el manejo que se ha hecho a los problemas que afectan el cumplimiento de sus metas y objetivos (riesgos) le ha permitido:</t>
  </si>
  <si>
    <t>Evitar que los problemas (riesgos) obstaculicen el cumplimiento de los objetivos.</t>
  </si>
  <si>
    <t>Controlar los puntos críticos en los procesos.</t>
  </si>
  <si>
    <t>Diseñar acciones adecuadas para controlar los problemas que afectan el cumplimiento de las metas y objetivos institucionales (riesgos).</t>
  </si>
  <si>
    <t>Ejecutar las acciones de acuerdo a como se diseñaron previamente.</t>
  </si>
  <si>
    <t>No se gestionan los problemas que afectan el cumplimiento de las funciones y objetivos institucionales(riesgos).</t>
  </si>
  <si>
    <t>ANÁLISIS DE RESULTADOS PARA LA TOMA DE DECISIONES</t>
  </si>
  <si>
    <t>Se encuentra en proceso, pero requiere continuar con acciones dirigidas a contar con dicho aspecto de control.</t>
  </si>
  <si>
    <t>Se encuentra presente  y funcionando, pero requiere mejoras frente a su diseño, ya que  opera de manera efectiva</t>
  </si>
  <si>
    <t>No se encuentra el aspecto  por lo tanto la entidad debera generar acciones dirigidas a que se cumpla con el requerimiento.</t>
  </si>
  <si>
    <t>RESULTADOS</t>
  </si>
  <si>
    <t>FUENTE DEL ANALISIS</t>
  </si>
  <si>
    <t xml:space="preserve">Seguimiento al control </t>
  </si>
  <si>
    <t>OBSERVACIONES DEL CONTROL</t>
  </si>
  <si>
    <t>NIVEL DE CUMPLIMIENTO-ASPECTOS PARTICULARES POR COMPONENTE</t>
  </si>
  <si>
    <t>NIVEL DE CUMPLIMIENTO COMPONENTE</t>
  </si>
  <si>
    <t>componente</t>
  </si>
  <si>
    <t>Nombre de la Entidad:</t>
  </si>
  <si>
    <t>Periodo Evaluado:</t>
  </si>
  <si>
    <t>Estado del sistema de Control Interno de la entidad</t>
  </si>
  <si>
    <t>Conclusión general sobre la evaluación del Sistema de Control Interno</t>
  </si>
  <si>
    <t>¿Están todos los componentes operando juntos y de manera integrada? (Si / en proceso / No) (Justifique su respuesta):</t>
  </si>
  <si>
    <t>¿Es efectivo el sistema de control interno para los objetivos evaluados? (Si/No) (Justifique su respuesta):</t>
  </si>
  <si>
    <t>La entidad cuenta dentro de su Sistema de Control Interno, con una institucionalidad (Líneas de defensa)  que le permita la toma de decisiones frente al control (Si/No) (Justifique su respuesta):</t>
  </si>
  <si>
    <t>Componente</t>
  </si>
  <si>
    <t>¿se esta cumpliendo los requerimientos ?</t>
  </si>
  <si>
    <t>Nivel de Cumplimiento componente</t>
  </si>
  <si>
    <r>
      <rPr>
        <b/>
        <u/>
        <sz val="20"/>
        <color theme="0"/>
        <rFont val="Arial"/>
        <family val="2"/>
      </rPr>
      <t xml:space="preserve"> Estado actual:</t>
    </r>
    <r>
      <rPr>
        <b/>
        <sz val="20"/>
        <color theme="0"/>
        <rFont val="Arial"/>
        <family val="2"/>
      </rPr>
      <t xml:space="preserve"> Explicacion de las Debilidades y/o Fortalezas encontradas en cada componente</t>
    </r>
  </si>
  <si>
    <t>EVALUCION DEL RIESGO</t>
  </si>
  <si>
    <t>ACTIVIDADES DEL CONTROL</t>
  </si>
  <si>
    <t xml:space="preserve">ACTIVIDADES DE MONITOREO </t>
  </si>
  <si>
    <t xml:space="preserve">Evaluación </t>
  </si>
  <si>
    <t>Puntaje</t>
  </si>
  <si>
    <t xml:space="preserve">Orden </t>
  </si>
  <si>
    <t>Nivel de cumplimiento -Aaspectos particulares por componente</t>
  </si>
  <si>
    <t xml:space="preserve">Promedios </t>
  </si>
  <si>
    <t>1a</t>
  </si>
  <si>
    <t>1b</t>
  </si>
  <si>
    <t>1c</t>
  </si>
  <si>
    <t>1d</t>
  </si>
  <si>
    <t>1e</t>
  </si>
  <si>
    <t>1f</t>
  </si>
  <si>
    <t>1g</t>
  </si>
  <si>
    <t>1h</t>
  </si>
  <si>
    <t>1i</t>
  </si>
  <si>
    <t>1j</t>
  </si>
  <si>
    <t>1k</t>
  </si>
  <si>
    <t>1l</t>
  </si>
  <si>
    <t>2a</t>
  </si>
  <si>
    <t>La identificación de cambios en su entorno que pueden generar consecuencias negativas en su gestión</t>
  </si>
  <si>
    <t>2b</t>
  </si>
  <si>
    <t>La identificación de aquellos problemas o aspectos que pueden afectar el cumplimiento de los planes de la entidad y en general su gestión institucional (riesgos)</t>
  </si>
  <si>
    <t>2c</t>
  </si>
  <si>
    <t>La identificación  de los riesgos relacionados con posibles actos de corrupción en el ejercicio de sus funciones</t>
  </si>
  <si>
    <t>2d</t>
  </si>
  <si>
    <t>3a</t>
  </si>
  <si>
    <t>3b</t>
  </si>
  <si>
    <t>3c</t>
  </si>
  <si>
    <t>4a</t>
  </si>
  <si>
    <t>4b</t>
  </si>
  <si>
    <t>4c</t>
  </si>
  <si>
    <t>5a</t>
  </si>
  <si>
    <t>5b</t>
  </si>
  <si>
    <t>5c</t>
  </si>
  <si>
    <t>5d</t>
  </si>
  <si>
    <t>5e</t>
  </si>
  <si>
    <t>6a</t>
  </si>
  <si>
    <t>6b</t>
  </si>
  <si>
    <t>6c</t>
  </si>
  <si>
    <t>6d</t>
  </si>
  <si>
    <t>6e</t>
  </si>
  <si>
    <t>El jefe de control interno o quien haga sus veces, ha podido evidenciar si en la entidad si el manejo que se ha hecho a los problemas que afectan el cumplimiento de sus metas y objetivos (riesgos) le ha permitido:</t>
  </si>
  <si>
    <t>6f</t>
  </si>
  <si>
    <t>6g</t>
  </si>
  <si>
    <t>7a</t>
  </si>
  <si>
    <t>7d</t>
  </si>
  <si>
    <t>7f</t>
  </si>
  <si>
    <t>7g</t>
  </si>
  <si>
    <t>8h</t>
  </si>
  <si>
    <t>9a</t>
  </si>
  <si>
    <t>9b</t>
  </si>
  <si>
    <t>9c</t>
  </si>
  <si>
    <t>9d</t>
  </si>
  <si>
    <t>9e</t>
  </si>
  <si>
    <t>Instituto Municipal de Empleo y Fomento Empresarial del municipio de Bucaramanga</t>
  </si>
  <si>
    <t>La vinculación de los servidores públicos del instituto se realiza acorde a la normatividad vigente y cuenta con funcionarios en carrera administrativa, libre nombramiento y remoción y periodo fijo como lo indica la norma.</t>
  </si>
  <si>
    <t>Mapa de riesgos institucional</t>
  </si>
  <si>
    <t>Comité institucional de Control Interno y Comité Municipal de Auditoria.</t>
  </si>
  <si>
    <t>Página web, Pbx, Correo electrónico.</t>
  </si>
  <si>
    <t>La entidad cuenta con plan de acción, indicadores de gestión, sistema integrado de gestión de calidad, plan anual de auditorías, entre otros.</t>
  </si>
  <si>
    <t>Planes de mejoramiento internos y externos.</t>
  </si>
  <si>
    <t>Se realiza seguimiento de manera periódica y son reportados en sia misional de manera semestral.</t>
  </si>
  <si>
    <t>El plan anticorrupción y atención al ciudadano de la entidad es aprobado y publicado en página web institucional.</t>
  </si>
  <si>
    <t xml:space="preserve">Las acciones planteadas en el mapa de riesgo de la entidad y sus respectivos seguimientos evitan que la entidad incurra en problemas que obstaculicen el cumplimiento de los objetivos institucionales. </t>
  </si>
  <si>
    <t>A través del decreto 0095 del 29 de junio del 2022 se creó y reglamentó el comité municipal de auditoria del cual hace parte la oficina de control interno del IMEBU.</t>
  </si>
  <si>
    <t xml:space="preserve">Las incluidas en el mapa de riesgos de la entidad y el desarrollo del plan de trabajo de la oficina de control interno </t>
  </si>
  <si>
    <t xml:space="preserve">Se realiza seguimiento al desarrollo del plan de trabajo de la oficina de control interno a través del comité institucional CICI </t>
  </si>
  <si>
    <t xml:space="preserve">A través del comité institucional de control interno y en la presentación del avance del plan de trabajo se pretende identificar los problemas relevantes de la institución e impartir las directrices en camino del cumplimiento de los objetivos </t>
  </si>
  <si>
    <t xml:space="preserve">El manual de funciones fue actualizado acorde a la normatividad legal vigente y aprobado mediente junta directiva, está publicado en pagina web institucional y rigiendo a lo pertinente. </t>
  </si>
  <si>
    <t xml:space="preserve">El mapa de riesgos institucional incluye las acciones encaminadas a la mitigación de estos. </t>
  </si>
  <si>
    <t xml:space="preserve">A traves de la pagina web institucional se viene identificando y diferenciando la informacion para la operación de la entidad y se viene avanzando en el cumplimiento de la resolucion 1519 de 2020. 
Se debe mantener actualizada la pagina en sus diferentes items, especialmente en presupuesto. </t>
  </si>
  <si>
    <t xml:space="preserve">De acuerdo a la identificacion de riesgos en los procesos se programan las auditorias internas para el control de puntos criticos en los procesos y a traves de cada uno de los seguimientos se levantan recomendaciones necesarias para la toma de deciciones por la alta direccion. </t>
  </si>
  <si>
    <t xml:space="preserve">Mediante resolucion 040 de 01 de junio de 2023, fue actualizada y modificada la resolucion 010 de 2018, la cual crea y asigna funciones al comité institucional de coordinacion de control interno del IMEBU, el cual viene operando conforme a lo alli establecido. </t>
  </si>
  <si>
    <t xml:space="preserve">La entidad cuenta con un organigrama establecido conforme a la planta de personal, sin embargo este no es adecuado a los objetivos institucionales, a las normas de austeridad en el gasto y a la formalizacion laboral, por lo tanto se requiere un estudio de reestructuracion. 
  </t>
  </si>
  <si>
    <t xml:space="preserve">En octubre del 2022 se creó el formato de entrevista de retiro garantizando al funcionario lo previsto en la normatividad vigente, así como seguimiento interno que permita conocer el motivo de las desvinculaciones en la entidad.
Sin embargo no se cuenta con proceso de paz y salvo a funcionarios, lo que dificulta la entrega de los cargos y el proceso de transicion, se recomienda implementar este proceso </t>
  </si>
  <si>
    <t xml:space="preserve">El mapa de riesgos institucional consolidado para la presente vigencia, incluye riesgos de corrupcion conforme a la version 6 de la guia de administracion del riesgo. </t>
  </si>
  <si>
    <t xml:space="preserve">El instituto cuenta con un plan de seguridad de la informacion el cual especifica los riesgos que se pueden presentar, asociados a la tecnología y las comunicaciones, de igual forma el mapa de riesgos institucional cuenta con riesgos informaticos y sus respectivas acciones de mitigacion. </t>
  </si>
  <si>
    <t xml:space="preserve">Se cuenta con herramienta de indice de informacion reservada y clasificada, la cual fue actualizada en la vigencia anterior, se recomienda revision constante de la misma. </t>
  </si>
  <si>
    <t xml:space="preserve">A parte de los canales habituales para la ciudadanía se da manejo a plataformas gubernamentales como Secop, Sigep y Sia contralorías.
Se recomienda la publicacion dentro del termino y como lo indica la norma en las plataformas mencionadas anteriormente. </t>
  </si>
  <si>
    <t xml:space="preserve">La información de interés general es publicada en la página web de la entidad y de organismos gubernamentales a través de secop, sigep, sia contralorías y sia observa.
Se requiere mantener actualizada la pagina web institucional, especificamente en asuntos presupuestales. </t>
  </si>
  <si>
    <t xml:space="preserve">Mediente resolucion 110 de octubre 8 de 2018 adopta el codigo de integridad del IMEBU, del cual hace parte integral el codigo de integridad, el cual especifica los valores del servicio publico y la manera en que se deben integrar al desarrollo de las funciones. 
Con base en lo anterior se evidenciaron socializaciones y jornadas de conocimiento de este entre funcionarios y contratistas de la entidad.  </t>
  </si>
  <si>
    <t xml:space="preserve">El IMEBU a través del plan de acción implementa los planes, programas y proyectos asociados al plan de desarrollo municipal y acorde a los objetivos institucionales.
Se evidencian avances en ejecucion y oferta institucional a la comunidad. </t>
  </si>
  <si>
    <t xml:space="preserve">El instituto se rige de acuerdo a lo establecido en el mapa de procesos y los procedimientos establecidos en cada uno de ellos, en el desarrollo de los mismos se cuenta con documentación establecida por el sistema de gestión de calidad como actas de reunión, informes de seguimiento, procedimientos por programas entre otros, que permiten conocer y soportar el estado de la gestión. 
Se evidencia actualizacion y socializacion del SICG asi como programa de auditoria, se recomienda su ejecucion en el segundo semestre de la vigencia en curso. </t>
  </si>
  <si>
    <t xml:space="preserve">Se evidencia programas de induccion y re induccion, asi como desarrollo de plan de bienestar institucional. </t>
  </si>
  <si>
    <t xml:space="preserve">Se evidencia programacion y socializacion de metas con empleado de carrera administrativa, se recomienda evaluaciones periodicas dentro del termino establecido. </t>
  </si>
  <si>
    <t xml:space="preserve">Se realizó reunion de socializacion de estrategia de rendicion de cuenta, se requiere implementacion y programacion de audiencia publica para el segundo semestre de la vigencia. </t>
  </si>
  <si>
    <t xml:space="preserve">Se evidencia la presentacion oportuna de informes de gestion al concejo municipal y demas autoridades competentes. </t>
  </si>
  <si>
    <t xml:space="preserve">A través de los diferentes seguimientos (mapa de riesgos, auditorías internas, auditorías externas, informes de seguimiento, entre otros) se pueden identificar factores negativos que puedan incidir en el cumplimiento de los objetivos institucionales. 
Se requiere mayor atencion a las recomendaciones de la oficina de control interno en el ejercicio de mitigacion de riesgos. </t>
  </si>
  <si>
    <t xml:space="preserve">Se cuenta con mapa de riesgos institucional para la vigencia 2025, sin embargo en seguimiento se evidenciaron controles no efectivos o que no mitigan el riesgos identificado, por otro lado requiere actualizacion respecto a los riesgos mas prominentes de cada proceso. </t>
  </si>
  <si>
    <t xml:space="preserve">Se evidencia monitoreo y seguimiento al mapa de riesgos institucional. </t>
  </si>
  <si>
    <t xml:space="preserve">Conforme a seguimientos cuatrimestrales de ley, se ha comunicado el desempeño de los riesgos identificados, sin embargo se requiere actualizacion conforme las recomendaciones expuestas en seguimiento OCI. </t>
  </si>
  <si>
    <t xml:space="preserve">Desde la OCI a traves de los diferentes seguimientos se vienen identificando deficiencias en el control de riesgos, los cuales han sido reportados a la alta direccion para tomar las medidas pertinentes. </t>
  </si>
  <si>
    <t xml:space="preserve">Se evidencian reuniones de socializacion de riesgos y propuestas de mejora e implementacion de las acciones correctivas propuestas. </t>
  </si>
  <si>
    <t xml:space="preserve">Se evidencia voluntad por parte de los lideres de proceso para la toma de decisiones en la mitigacion de riesgos, sin embargo se debe reflejar en el documento establecido y las acciones planteadas. </t>
  </si>
  <si>
    <t xml:space="preserve">Se evidencian implementaciones de acciones de mejora conforme a las recomendaciones de la oficina de control interno e identificacion de riesgos por procesos. </t>
  </si>
  <si>
    <t xml:space="preserve">Los seguimientos de la oficina de control interno se vienen realizando cuatrimestralmente, conforme a ello se han citado a mesas de trabajo para la actualizacion de acciones y riesgos por proceso. </t>
  </si>
  <si>
    <t xml:space="preserve">Planes de mejoramiento suscritos </t>
  </si>
  <si>
    <t xml:space="preserve">Se tienen identificados los responsables de la informacion por procesos y el manejo que se le da a la misma. </t>
  </si>
  <si>
    <t xml:space="preserve">El instituto viene implementando un ambiente de control favorable dentro del sistema de control interno, se cuenta con modelo adoptado y en funcionamiento, el codigo de integridad se viene apropiando y socializando entre funcionarios y contratistas, se vienen garantizando los procesos de induccion y re induccion y la presentacion de informes de gestion se viene haciendo dentro de lo establecido, se requieren mejoras en la desvinculacion laboral, respecto a entrega de cargos y expedicion de paz y salvos, asi como la mejora de la planta de personal, distribuyendo de mejor manera las cargas y responsabilidades en pro del cumplimiento de objetivos. </t>
  </si>
  <si>
    <t xml:space="preserve">El mapa de riesgos institucional fue consolidado conforme a lo establecido en la guia de administracion del riesgo, se cuenta con las acciones de mitigacion establecidas, sin embargo en seguimientos periodicos se ha podido evicenciar que los controles no resultan efectivos de manera real en la mitigacion de riesgos o incluso algunos de los riesgos plasmados en el documento no resultan concordantes con los procesos, se ha recomendado la revision y actualizacion del documento. </t>
  </si>
  <si>
    <t xml:space="preserve">Se tienen definidas las acciones de mitigacion y control de riesgos y sus respectivos seguimientos, se recomienda mayor rigor en el monitoreo de los riesgos establecidos por procesos y establecer retroalimentaciones con lideres de procesos, que permita conocimiento e instrucciones continuas enfocados a la mitigacion del riesgo. </t>
  </si>
  <si>
    <t xml:space="preserve">Las actividades de monitoreo supervision y control se encuentran operando de manera satisfactoria, a traves del comité institucional de control interno, comité municipal de control interno, evaluacion del riesgo y seguimiento a planes de mejoramiento internos y externos. </t>
  </si>
  <si>
    <t xml:space="preserve">Los componentes del sistema de control se encuentran operando de manera articulada, el ambiente de control evidencia una mejora significativa respecto a la revision anterior, los riesgos identificados y establecidos en una documento de mapa de riesgos, sin embargo requieren revision y mejora en los controles, los canales de comunicacion activos respecto a la comunidad, menos el link pqrsd que no se ha puesto en funcionamiento pese a las recomendaciones y lo establecido en la norma, las actividades de control son implementadas y viene siendo efectivas. </t>
  </si>
  <si>
    <t xml:space="preserve">El sistema de control interno viene siendo efectivo respecto a la mitigacion de riesgos y cumplimiento de objetivos, se vienen dando las garantias en el ejercicio de control y las recomendaciones vienen siendo actadas por la alta direccion. </t>
  </si>
  <si>
    <t xml:space="preserve">La entidad desde la alta direccion, las subdirecciones, los comités institucionales y la auditoria interna, tiene interelacionadas las tres lineas de defensa y en cumplimiento de sus roles institucionales, se evidencia mejora significativa en el desarrollo de los comités institucionales, conforme a la normatividad legal vigente. </t>
  </si>
  <si>
    <t>Noviembre de 2025</t>
  </si>
  <si>
    <t xml:space="preserve">La entidad cuenta con página web, línea pbx y correo institucional, el link en pagina web institucional, para atencion al ciudadano se encuentra en implementacion. </t>
  </si>
  <si>
    <t xml:space="preserve">Los canales de comunicación del instituto no se encuentran operando en su totalidad, ya que el link de pqrsd en pagina web se encuentra en implementacion, por otro lado se hace necesaria la actualizacion constante de la pagina web institucional, acorde a las normas de transparencia vigentes.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</si>
</sst>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9" x14ac:knownFonts="1">
    <font>
      <sz val="11"/>
      <color theme="1"/>
      <name val="Calibri"/>
      <family val="2"/>
      <scheme val="minor"/>
    </font>
    <font>
      <sz val="11"/>
      <name val="Arial"/>
      <family val="2"/>
    </font>
    <font>
      <b/>
      <sz val="12"/>
      <name val="Arial"/>
      <family val="2"/>
    </font>
    <font>
      <sz val="11"/>
      <color theme="1"/>
      <name val="Calibri"/>
      <family val="2"/>
      <scheme val="minor"/>
    </font>
    <font>
      <sz val="11"/>
      <color theme="0"/>
      <name val="Calibri"/>
      <family val="2"/>
      <scheme val="minor"/>
    </font>
    <font>
      <b/>
      <sz val="12"/>
      <color theme="0"/>
      <name val="Arial"/>
      <family val="2"/>
    </font>
    <font>
      <b/>
      <sz val="20"/>
      <color theme="0"/>
      <name val="Arial Narrow"/>
      <family val="2"/>
    </font>
    <font>
      <sz val="11"/>
      <color theme="1"/>
      <name val="Arial Narrow"/>
      <family val="2"/>
    </font>
    <font>
      <sz val="11"/>
      <color theme="0"/>
      <name val="Arial Narrow"/>
      <family val="2"/>
    </font>
    <font>
      <b/>
      <sz val="18"/>
      <color theme="0"/>
      <name val="Arial"/>
      <family val="2"/>
    </font>
    <font>
      <sz val="20"/>
      <color rgb="FFFF0000"/>
      <name val="Arial"/>
      <family val="2"/>
    </font>
    <font>
      <b/>
      <sz val="12"/>
      <color rgb="FFFF0000"/>
      <name val="Arial"/>
      <family val="2"/>
    </font>
    <font>
      <b/>
      <sz val="10"/>
      <color rgb="FFFF0000"/>
      <name val="Arial"/>
      <family val="2"/>
    </font>
    <font>
      <b/>
      <sz val="10"/>
      <color theme="1"/>
      <name val="Arial"/>
      <family val="2"/>
    </font>
    <font>
      <b/>
      <sz val="16"/>
      <color theme="1"/>
      <name val="Arial"/>
      <family val="2"/>
    </font>
    <font>
      <b/>
      <i/>
      <sz val="10"/>
      <name val="Arial"/>
      <family val="2"/>
    </font>
    <font>
      <b/>
      <i/>
      <sz val="10"/>
      <color theme="1"/>
      <name val="Arial"/>
      <family val="2"/>
    </font>
    <font>
      <b/>
      <sz val="16"/>
      <color theme="0"/>
      <name val="Arial Narrow"/>
      <family val="2"/>
    </font>
    <font>
      <b/>
      <sz val="12"/>
      <color theme="0"/>
      <name val="Arial Narrow"/>
      <family val="2"/>
    </font>
    <font>
      <b/>
      <sz val="10"/>
      <color theme="0"/>
      <name val="Arial Narrow"/>
      <family val="2"/>
    </font>
    <font>
      <sz val="12"/>
      <color theme="1"/>
      <name val="Arial"/>
      <family val="2"/>
    </font>
    <font>
      <sz val="10"/>
      <color theme="1"/>
      <name val="Calibri"/>
      <family val="2"/>
      <scheme val="minor"/>
    </font>
    <font>
      <sz val="10"/>
      <color theme="0"/>
      <name val="Arial Narrow"/>
      <family val="2"/>
    </font>
    <font>
      <sz val="14"/>
      <color theme="0"/>
      <name val="Arial"/>
      <family val="2"/>
    </font>
    <font>
      <sz val="10"/>
      <color theme="1"/>
      <name val="Arial Narrow"/>
      <family val="2"/>
    </font>
    <font>
      <b/>
      <sz val="11"/>
      <name val="Arial Narrow"/>
      <family val="2"/>
    </font>
    <font>
      <sz val="10"/>
      <name val="Arial Narrow"/>
      <family val="2"/>
    </font>
    <font>
      <sz val="16"/>
      <color theme="0"/>
      <name val="Calibri"/>
      <family val="2"/>
      <scheme val="minor"/>
    </font>
    <font>
      <b/>
      <sz val="18"/>
      <name val="Calibri"/>
      <family val="2"/>
      <scheme val="minor"/>
    </font>
    <font>
      <sz val="10"/>
      <name val="Arial"/>
      <family val="2"/>
    </font>
    <font>
      <b/>
      <sz val="14"/>
      <name val="Arial Narrow"/>
      <family val="2"/>
    </font>
    <font>
      <b/>
      <u/>
      <sz val="11"/>
      <name val="Arial Narrow"/>
      <family val="2"/>
    </font>
    <font>
      <b/>
      <sz val="10"/>
      <name val="Arial Narrow"/>
      <family val="2"/>
    </font>
    <font>
      <sz val="12"/>
      <name val="Times New Roman"/>
      <family val="1"/>
    </font>
    <font>
      <b/>
      <sz val="9"/>
      <name val="Arial Narrow"/>
      <family val="2"/>
    </font>
    <font>
      <sz val="9"/>
      <name val="Arial Narrow"/>
      <family val="2"/>
    </font>
    <font>
      <sz val="11"/>
      <name val="Arial Narrow"/>
      <family val="2"/>
    </font>
    <font>
      <b/>
      <sz val="10"/>
      <color theme="1"/>
      <name val="Arial Narrow"/>
      <family val="2"/>
    </font>
    <font>
      <sz val="15"/>
      <name val="Arial Narrow"/>
      <family val="2"/>
    </font>
    <font>
      <sz val="15"/>
      <color theme="1"/>
      <name val="Arial Narrow"/>
      <family val="2"/>
    </font>
    <font>
      <sz val="8"/>
      <name val="Calibri"/>
      <family val="2"/>
      <scheme val="minor"/>
    </font>
    <font>
      <b/>
      <sz val="18"/>
      <color theme="1"/>
      <name val="Calibri"/>
      <family val="2"/>
      <scheme val="minor"/>
    </font>
    <font>
      <b/>
      <sz val="20"/>
      <name val="Arial"/>
      <family val="2"/>
    </font>
    <font>
      <sz val="18"/>
      <name val="Arial Narrow"/>
      <family val="2"/>
    </font>
    <font>
      <sz val="12"/>
      <color theme="0"/>
      <name val="Arial Narrow"/>
      <family val="2"/>
    </font>
    <font>
      <b/>
      <sz val="14"/>
      <color theme="0"/>
      <name val="Arial Narrow"/>
      <family val="2"/>
    </font>
    <font>
      <sz val="12"/>
      <name val="Arial Narrow"/>
      <family val="2"/>
    </font>
    <font>
      <sz val="12"/>
      <color theme="1"/>
      <name val="Arial Narrow"/>
      <family val="2"/>
    </font>
    <font>
      <sz val="14"/>
      <color theme="1"/>
      <name val="Calibri"/>
      <family val="2"/>
      <scheme val="minor"/>
    </font>
    <font>
      <b/>
      <sz val="14"/>
      <name val="Arial"/>
      <family val="2"/>
    </font>
    <font>
      <sz val="18"/>
      <color theme="1"/>
      <name val="Arial"/>
      <family val="2"/>
    </font>
    <font>
      <b/>
      <sz val="24"/>
      <color theme="0"/>
      <name val="Arial Narrow"/>
      <family val="2"/>
    </font>
    <font>
      <b/>
      <sz val="20"/>
      <color theme="0"/>
      <name val="Arial"/>
      <family val="2"/>
    </font>
    <font>
      <sz val="20"/>
      <color theme="1"/>
      <name val="Calibri"/>
      <family val="2"/>
      <scheme val="minor"/>
    </font>
    <font>
      <b/>
      <u/>
      <sz val="20"/>
      <color theme="0"/>
      <name val="Arial"/>
      <family val="2"/>
    </font>
    <font>
      <sz val="25"/>
      <color theme="1"/>
      <name val="Calibri"/>
      <family val="2"/>
      <scheme val="minor"/>
    </font>
    <font>
      <sz val="25"/>
      <color theme="1"/>
      <name val="Arial Narrow"/>
      <family val="2"/>
    </font>
    <font>
      <sz val="14"/>
      <name val="Calibri"/>
      <family val="2"/>
    </font>
    <font>
      <sz val="12"/>
      <name val="Calibri"/>
      <family val="2"/>
    </font>
  </fonts>
  <fills count="17">
    <fill>
      <patternFill patternType="none"/>
    </fill>
    <fill>
      <patternFill patternType="gray125"/>
    </fill>
    <fill>
      <patternFill patternType="solid">
        <fgColor theme="3" tint="0.39997558519241921"/>
        <bgColor indexed="64"/>
      </patternFill>
    </fill>
    <fill>
      <patternFill patternType="solid">
        <fgColor theme="3" tint="0.59999389629810485"/>
        <bgColor indexed="64"/>
      </patternFill>
    </fill>
    <fill>
      <patternFill patternType="solid">
        <fgColor theme="0"/>
        <bgColor indexed="64"/>
      </patternFill>
    </fill>
    <fill>
      <patternFill patternType="solid">
        <fgColor theme="4"/>
        <bgColor indexed="64"/>
      </patternFill>
    </fill>
    <fill>
      <patternFill patternType="solid">
        <fgColor rgb="FFFFC000"/>
        <bgColor indexed="64"/>
      </patternFill>
    </fill>
    <fill>
      <patternFill patternType="solid">
        <fgColor rgb="FFFFFF00"/>
        <bgColor indexed="64"/>
      </patternFill>
    </fill>
    <fill>
      <patternFill patternType="solid">
        <fgColor rgb="FFFF0000"/>
        <bgColor indexed="64"/>
      </patternFill>
    </fill>
    <fill>
      <patternFill patternType="solid">
        <fgColor theme="5" tint="-0.249977111117893"/>
        <bgColor indexed="64"/>
      </patternFill>
    </fill>
    <fill>
      <patternFill patternType="solid">
        <fgColor theme="6" tint="-0.249977111117893"/>
        <bgColor indexed="64"/>
      </patternFill>
    </fill>
    <fill>
      <patternFill patternType="solid">
        <fgColor theme="7" tint="-0.249977111117893"/>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9" tint="0.39997558519241921"/>
        <bgColor indexed="64"/>
      </patternFill>
    </fill>
  </fills>
  <borders count="94">
    <border>
      <left/>
      <right/>
      <top/>
      <bottom/>
      <diagonal/>
    </border>
    <border>
      <left/>
      <right/>
      <top style="medium">
        <color auto="1"/>
      </top>
      <bottom style="medium">
        <color auto="1"/>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auto="1"/>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medium">
        <color auto="1"/>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style="hair">
        <color indexed="64"/>
      </bottom>
      <diagonal/>
    </border>
    <border>
      <left style="hair">
        <color indexed="64"/>
      </left>
      <right style="hair">
        <color indexed="64"/>
      </right>
      <top/>
      <bottom/>
      <diagonal/>
    </border>
    <border>
      <left style="hair">
        <color indexed="64"/>
      </left>
      <right style="medium">
        <color indexed="64"/>
      </right>
      <top style="hair">
        <color indexed="64"/>
      </top>
      <bottom/>
      <diagonal/>
    </border>
    <border>
      <left style="medium">
        <color indexed="64"/>
      </left>
      <right style="dashed">
        <color indexed="64"/>
      </right>
      <top style="medium">
        <color indexed="64"/>
      </top>
      <bottom style="medium">
        <color indexed="64"/>
      </bottom>
      <diagonal/>
    </border>
    <border>
      <left style="dashed">
        <color indexed="64"/>
      </left>
      <right style="dashed">
        <color indexed="64"/>
      </right>
      <top style="medium">
        <color indexed="64"/>
      </top>
      <bottom style="medium">
        <color indexed="64"/>
      </bottom>
      <diagonal/>
    </border>
    <border>
      <left style="dashed">
        <color indexed="64"/>
      </left>
      <right style="medium">
        <color indexed="64"/>
      </right>
      <top style="medium">
        <color indexed="64"/>
      </top>
      <bottom style="medium">
        <color indexed="64"/>
      </bottom>
      <diagonal/>
    </border>
    <border>
      <left style="medium">
        <color indexed="64"/>
      </left>
      <right style="dashed">
        <color indexed="64"/>
      </right>
      <top/>
      <bottom style="dashed">
        <color indexed="64"/>
      </bottom>
      <diagonal/>
    </border>
    <border>
      <left style="dashed">
        <color indexed="64"/>
      </left>
      <right style="dashed">
        <color indexed="64"/>
      </right>
      <top/>
      <bottom style="dashed">
        <color indexed="64"/>
      </bottom>
      <diagonal/>
    </border>
    <border>
      <left style="dashed">
        <color indexed="64"/>
      </left>
      <right style="medium">
        <color indexed="64"/>
      </right>
      <top/>
      <bottom style="dashed">
        <color indexed="64"/>
      </bottom>
      <diagonal/>
    </border>
    <border>
      <left style="medium">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medium">
        <color indexed="64"/>
      </left>
      <right style="dashed">
        <color indexed="64"/>
      </right>
      <top style="dashed">
        <color indexed="64"/>
      </top>
      <bottom style="medium">
        <color indexed="64"/>
      </bottom>
      <diagonal/>
    </border>
    <border>
      <left style="dashed">
        <color indexed="64"/>
      </left>
      <right style="dashed">
        <color indexed="64"/>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style="medium">
        <color indexed="64"/>
      </top>
      <bottom style="thin">
        <color indexed="64"/>
      </bottom>
      <diagonal/>
    </border>
    <border>
      <left style="dashed">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medium">
        <color indexed="64"/>
      </top>
      <bottom style="thin">
        <color indexed="64"/>
      </bottom>
      <diagonal/>
    </border>
    <border>
      <left style="medium">
        <color indexed="64"/>
      </left>
      <right/>
      <top/>
      <bottom/>
      <diagonal/>
    </border>
    <border>
      <left/>
      <right style="medium">
        <color indexed="64"/>
      </right>
      <top/>
      <bottom/>
      <diagonal/>
    </border>
    <border>
      <left style="double">
        <color indexed="64"/>
      </left>
      <right/>
      <top style="double">
        <color indexed="64"/>
      </top>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right style="double">
        <color indexed="64"/>
      </right>
      <top style="double">
        <color indexed="64"/>
      </top>
      <bottom style="thin">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style="double">
        <color indexed="64"/>
      </right>
      <top style="hair">
        <color indexed="64"/>
      </top>
      <bottom style="hair">
        <color indexed="64"/>
      </bottom>
      <diagonal/>
    </border>
    <border>
      <left/>
      <right/>
      <top style="dashed">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ouble">
        <color indexed="64"/>
      </left>
      <right/>
      <top style="thin">
        <color indexed="64"/>
      </top>
      <bottom style="hair">
        <color indexed="64"/>
      </bottom>
      <diagonal/>
    </border>
    <border>
      <left/>
      <right style="hair">
        <color indexed="64"/>
      </right>
      <top style="thin">
        <color indexed="64"/>
      </top>
      <bottom style="hair">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bottom/>
      <diagonal/>
    </border>
    <border>
      <left style="hair">
        <color indexed="64"/>
      </left>
      <right style="hair">
        <color indexed="64"/>
      </right>
      <top style="hair">
        <color indexed="64"/>
      </top>
      <bottom/>
      <diagonal/>
    </border>
    <border>
      <left style="medium">
        <color indexed="64"/>
      </left>
      <right style="hair">
        <color indexed="64"/>
      </right>
      <top style="hair">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s>
  <cellStyleXfs count="5">
    <xf numFmtId="0" fontId="0" fillId="0" borderId="0"/>
    <xf numFmtId="9" fontId="3" fillId="0" borderId="0" applyFont="0" applyFill="0" applyBorder="0" applyAlignment="0" applyProtection="0"/>
    <xf numFmtId="0" fontId="21" fillId="0" borderId="0"/>
    <xf numFmtId="0" fontId="29" fillId="0" borderId="0"/>
    <xf numFmtId="0" fontId="33" fillId="0" borderId="0"/>
  </cellStyleXfs>
  <cellXfs count="318">
    <xf numFmtId="0" fontId="0" fillId="0" borderId="0" xfId="0"/>
    <xf numFmtId="0" fontId="0" fillId="4" borderId="0" xfId="0" applyFill="1"/>
    <xf numFmtId="0" fontId="0" fillId="4" borderId="17" xfId="0" applyFill="1" applyBorder="1"/>
    <xf numFmtId="0" fontId="0" fillId="4" borderId="18" xfId="0" applyFill="1" applyBorder="1"/>
    <xf numFmtId="0" fontId="0" fillId="4" borderId="19" xfId="0" applyFill="1" applyBorder="1"/>
    <xf numFmtId="0" fontId="0" fillId="4" borderId="20" xfId="0" applyFill="1" applyBorder="1"/>
    <xf numFmtId="0" fontId="7" fillId="4" borderId="0" xfId="0" applyFont="1" applyFill="1" applyAlignment="1">
      <alignment horizontal="center"/>
    </xf>
    <xf numFmtId="0" fontId="0" fillId="4" borderId="21" xfId="0" applyFill="1" applyBorder="1"/>
    <xf numFmtId="164" fontId="7" fillId="4" borderId="0" xfId="0" applyNumberFormat="1" applyFont="1" applyFill="1" applyAlignment="1">
      <alignment horizontal="center"/>
    </xf>
    <xf numFmtId="0" fontId="8" fillId="4" borderId="0" xfId="0" applyFont="1" applyFill="1" applyAlignment="1">
      <alignment vertical="center"/>
    </xf>
    <xf numFmtId="0" fontId="10" fillId="4" borderId="0" xfId="0" applyFont="1" applyFill="1" applyAlignment="1">
      <alignment horizontal="center" vertical="center"/>
    </xf>
    <xf numFmtId="0" fontId="11" fillId="4" borderId="0" xfId="0" applyFont="1" applyFill="1"/>
    <xf numFmtId="0" fontId="9" fillId="4" borderId="0" xfId="0" applyFont="1" applyFill="1" applyAlignment="1">
      <alignment horizontal="center" vertical="center"/>
    </xf>
    <xf numFmtId="0" fontId="2" fillId="4" borderId="30" xfId="0" applyFont="1" applyFill="1" applyBorder="1" applyAlignment="1">
      <alignment horizontal="center" vertical="center"/>
    </xf>
    <xf numFmtId="0" fontId="2" fillId="4" borderId="0" xfId="0" applyFont="1" applyFill="1" applyAlignment="1">
      <alignment horizontal="center" vertical="center"/>
    </xf>
    <xf numFmtId="0" fontId="12" fillId="4" borderId="0" xfId="0" applyFont="1" applyFill="1" applyAlignment="1">
      <alignment wrapText="1"/>
    </xf>
    <xf numFmtId="0" fontId="13" fillId="4" borderId="0" xfId="0" applyFont="1" applyFill="1" applyAlignment="1">
      <alignment wrapText="1"/>
    </xf>
    <xf numFmtId="0" fontId="5" fillId="0" borderId="0" xfId="0" applyFont="1" applyAlignment="1">
      <alignment vertical="center"/>
    </xf>
    <xf numFmtId="9" fontId="2" fillId="0" borderId="0" xfId="0" applyNumberFormat="1" applyFont="1" applyAlignment="1">
      <alignment vertical="center"/>
    </xf>
    <xf numFmtId="0" fontId="2" fillId="4" borderId="21" xfId="0" applyFont="1" applyFill="1" applyBorder="1" applyAlignment="1">
      <alignment vertical="center"/>
    </xf>
    <xf numFmtId="0" fontId="2" fillId="4" borderId="0" xfId="0" applyFont="1" applyFill="1" applyAlignment="1">
      <alignment vertical="center"/>
    </xf>
    <xf numFmtId="0" fontId="0" fillId="0" borderId="3" xfId="0" applyBorder="1"/>
    <xf numFmtId="0" fontId="5" fillId="4" borderId="0" xfId="0" applyFont="1" applyFill="1" applyAlignment="1">
      <alignment vertical="center"/>
    </xf>
    <xf numFmtId="0" fontId="2" fillId="4" borderId="0" xfId="0" applyFont="1" applyFill="1" applyAlignment="1">
      <alignment horizontal="left" vertical="center"/>
    </xf>
    <xf numFmtId="0" fontId="15" fillId="4" borderId="0" xfId="0" applyFont="1" applyFill="1" applyAlignment="1">
      <alignment vertical="center"/>
    </xf>
    <xf numFmtId="0" fontId="16" fillId="4" borderId="0" xfId="0" applyFont="1" applyFill="1"/>
    <xf numFmtId="0" fontId="0" fillId="4" borderId="34" xfId="0" applyFill="1" applyBorder="1"/>
    <xf numFmtId="0" fontId="0" fillId="4" borderId="35" xfId="0" applyFill="1" applyBorder="1"/>
    <xf numFmtId="0" fontId="0" fillId="4" borderId="36" xfId="0" applyFill="1" applyBorder="1"/>
    <xf numFmtId="0" fontId="20" fillId="0" borderId="0" xfId="0" applyFont="1" applyAlignment="1">
      <alignment horizontal="center" wrapText="1"/>
    </xf>
    <xf numFmtId="0" fontId="5" fillId="4" borderId="0" xfId="0" applyFont="1" applyFill="1" applyAlignment="1">
      <alignment horizontal="center" vertical="center" wrapText="1"/>
    </xf>
    <xf numFmtId="0" fontId="4" fillId="4" borderId="0" xfId="0" applyFont="1" applyFill="1"/>
    <xf numFmtId="0" fontId="5" fillId="4" borderId="0" xfId="0" applyFont="1" applyFill="1" applyAlignment="1">
      <alignment horizontal="left" vertical="center"/>
    </xf>
    <xf numFmtId="9" fontId="5" fillId="4" borderId="0" xfId="0" applyNumberFormat="1" applyFont="1" applyFill="1" applyAlignment="1">
      <alignment horizontal="center" vertical="center"/>
    </xf>
    <xf numFmtId="0" fontId="4" fillId="4" borderId="0" xfId="0" applyFont="1" applyFill="1" applyAlignment="1">
      <alignment horizontal="left"/>
    </xf>
    <xf numFmtId="0" fontId="22" fillId="0" borderId="0" xfId="2" applyFont="1" applyAlignment="1" applyProtection="1">
      <alignment vertical="center"/>
      <protection locked="0"/>
    </xf>
    <xf numFmtId="49" fontId="24" fillId="4" borderId="0" xfId="2" applyNumberFormat="1" applyFont="1" applyFill="1" applyAlignment="1" applyProtection="1">
      <alignment vertical="center"/>
      <protection locked="0"/>
    </xf>
    <xf numFmtId="0" fontId="24" fillId="4" borderId="0" xfId="2" applyFont="1" applyFill="1" applyAlignment="1" applyProtection="1">
      <alignment vertical="center"/>
      <protection locked="0"/>
    </xf>
    <xf numFmtId="9" fontId="26" fillId="4" borderId="0" xfId="2" applyNumberFormat="1" applyFont="1" applyFill="1" applyAlignment="1" applyProtection="1">
      <alignment vertical="center"/>
      <protection locked="0"/>
    </xf>
    <xf numFmtId="9" fontId="22" fillId="4" borderId="0" xfId="1" applyFont="1" applyFill="1" applyAlignment="1" applyProtection="1">
      <alignment vertical="center"/>
      <protection locked="0"/>
    </xf>
    <xf numFmtId="9" fontId="22" fillId="4" borderId="0" xfId="2" applyNumberFormat="1" applyFont="1" applyFill="1" applyAlignment="1" applyProtection="1">
      <alignment vertical="center"/>
      <protection locked="0"/>
    </xf>
    <xf numFmtId="0" fontId="26" fillId="4" borderId="0" xfId="2" applyFont="1" applyFill="1" applyAlignment="1" applyProtection="1">
      <alignment vertical="center"/>
      <protection locked="0"/>
    </xf>
    <xf numFmtId="0" fontId="26" fillId="0" borderId="0" xfId="3" applyFont="1"/>
    <xf numFmtId="0" fontId="7" fillId="4" borderId="0" xfId="0" applyFont="1" applyFill="1"/>
    <xf numFmtId="0" fontId="7" fillId="0" borderId="0" xfId="0" applyFont="1"/>
    <xf numFmtId="0" fontId="36" fillId="0" borderId="0" xfId="0" applyFont="1" applyAlignment="1">
      <alignment vertical="top"/>
    </xf>
    <xf numFmtId="49" fontId="36" fillId="0" borderId="0" xfId="0" applyNumberFormat="1" applyFont="1" applyAlignment="1">
      <alignment horizontal="center" vertical="top"/>
    </xf>
    <xf numFmtId="0" fontId="22" fillId="4" borderId="0" xfId="2" applyFont="1" applyFill="1" applyAlignment="1" applyProtection="1">
      <alignment vertical="center"/>
      <protection locked="0"/>
    </xf>
    <xf numFmtId="0" fontId="26" fillId="4" borderId="0" xfId="3" applyFont="1" applyFill="1"/>
    <xf numFmtId="0" fontId="26" fillId="4" borderId="59" xfId="3" applyFont="1" applyFill="1" applyBorder="1" applyAlignment="1">
      <alignment vertical="top" wrapText="1"/>
    </xf>
    <xf numFmtId="0" fontId="26" fillId="4" borderId="0" xfId="3" applyFont="1" applyFill="1" applyAlignment="1">
      <alignment vertical="top" wrapText="1"/>
    </xf>
    <xf numFmtId="0" fontId="26" fillId="4" borderId="60" xfId="3" applyFont="1" applyFill="1" applyBorder="1" applyAlignment="1">
      <alignment vertical="top" wrapText="1"/>
    </xf>
    <xf numFmtId="0" fontId="26" fillId="4" borderId="59" xfId="3" applyFont="1" applyFill="1" applyBorder="1" applyAlignment="1">
      <alignment horizontal="left" vertical="top"/>
    </xf>
    <xf numFmtId="0" fontId="26" fillId="4" borderId="60" xfId="3" applyFont="1" applyFill="1" applyBorder="1" applyAlignment="1">
      <alignment horizontal="left" vertical="top"/>
    </xf>
    <xf numFmtId="0" fontId="26" fillId="4" borderId="59" xfId="3" applyFont="1" applyFill="1" applyBorder="1"/>
    <xf numFmtId="0" fontId="34" fillId="4" borderId="0" xfId="4" applyFont="1" applyFill="1" applyAlignment="1">
      <alignment horizontal="left" vertical="top" wrapText="1" readingOrder="1"/>
    </xf>
    <xf numFmtId="0" fontId="26" fillId="4" borderId="60" xfId="3" applyFont="1" applyFill="1" applyBorder="1"/>
    <xf numFmtId="0" fontId="26" fillId="4" borderId="72" xfId="3" applyFont="1" applyFill="1" applyBorder="1"/>
    <xf numFmtId="0" fontId="26" fillId="4" borderId="73" xfId="3" applyFont="1" applyFill="1" applyBorder="1"/>
    <xf numFmtId="0" fontId="26" fillId="4" borderId="74" xfId="3" applyFont="1" applyFill="1" applyBorder="1"/>
    <xf numFmtId="0" fontId="34" fillId="4" borderId="0" xfId="0" applyFont="1" applyFill="1" applyAlignment="1">
      <alignment horizontal="left" vertical="center" wrapText="1"/>
    </xf>
    <xf numFmtId="0" fontId="35" fillId="4" borderId="0" xfId="0" applyFont="1" applyFill="1" applyAlignment="1">
      <alignment horizontal="left" vertical="top" wrapText="1"/>
    </xf>
    <xf numFmtId="0" fontId="26" fillId="4" borderId="0" xfId="3" quotePrefix="1" applyFont="1" applyFill="1" applyAlignment="1">
      <alignment horizontal="left" vertical="center" wrapText="1"/>
    </xf>
    <xf numFmtId="0" fontId="32" fillId="4" borderId="0" xfId="3" applyFont="1" applyFill="1" applyAlignment="1">
      <alignment horizontal="left" vertical="center" wrapText="1"/>
    </xf>
    <xf numFmtId="0" fontId="26" fillId="4" borderId="0" xfId="3" applyFont="1" applyFill="1" applyAlignment="1">
      <alignment horizontal="left" vertical="center" wrapText="1"/>
    </xf>
    <xf numFmtId="0" fontId="7" fillId="4" borderId="0" xfId="0" applyFont="1" applyFill="1" applyAlignment="1">
      <alignment vertical="center"/>
    </xf>
    <xf numFmtId="0" fontId="7" fillId="0" borderId="0" xfId="0" applyFont="1" applyAlignment="1">
      <alignment vertical="center"/>
    </xf>
    <xf numFmtId="0" fontId="8" fillId="4" borderId="0" xfId="0" applyFont="1" applyFill="1"/>
    <xf numFmtId="0" fontId="8" fillId="0" borderId="0" xfId="0" applyFont="1" applyAlignment="1">
      <alignment vertical="top"/>
    </xf>
    <xf numFmtId="0" fontId="8" fillId="0" borderId="0" xfId="0" applyFont="1"/>
    <xf numFmtId="0" fontId="44" fillId="9" borderId="11" xfId="0" applyFont="1" applyFill="1" applyBorder="1" applyAlignment="1">
      <alignment horizontal="center" vertical="top" wrapText="1"/>
    </xf>
    <xf numFmtId="49" fontId="45" fillId="5" borderId="7" xfId="0" applyNumberFormat="1" applyFont="1" applyFill="1" applyBorder="1" applyAlignment="1">
      <alignment horizontal="center" vertical="center" wrapText="1"/>
    </xf>
    <xf numFmtId="0" fontId="45" fillId="5" borderId="7" xfId="0" applyFont="1" applyFill="1" applyBorder="1" applyAlignment="1">
      <alignment horizontal="center" vertical="center" wrapText="1"/>
    </xf>
    <xf numFmtId="0" fontId="45" fillId="5" borderId="10" xfId="0" applyFont="1" applyFill="1" applyBorder="1" applyAlignment="1">
      <alignment horizontal="center" vertical="center" wrapText="1"/>
    </xf>
    <xf numFmtId="0" fontId="45" fillId="5" borderId="5" xfId="0" applyFont="1" applyFill="1" applyBorder="1" applyAlignment="1">
      <alignment horizontal="center" vertical="center" wrapText="1"/>
    </xf>
    <xf numFmtId="0" fontId="46" fillId="0" borderId="2" xfId="0" applyFont="1" applyBorder="1" applyAlignment="1">
      <alignment horizontal="center" vertical="center" wrapText="1"/>
    </xf>
    <xf numFmtId="0" fontId="46" fillId="0" borderId="2" xfId="0" applyFont="1" applyBorder="1" applyAlignment="1">
      <alignment horizontal="left" vertical="center" wrapText="1"/>
    </xf>
    <xf numFmtId="0" fontId="46" fillId="0" borderId="3" xfId="0" applyFont="1" applyBorder="1" applyAlignment="1">
      <alignment horizontal="center" vertical="center" wrapText="1"/>
    </xf>
    <xf numFmtId="0" fontId="47" fillId="0" borderId="3" xfId="0" applyFont="1" applyBorder="1" applyAlignment="1">
      <alignment horizontal="left" vertical="center" wrapText="1"/>
    </xf>
    <xf numFmtId="0" fontId="46" fillId="0" borderId="3" xfId="0" applyFont="1" applyBorder="1" applyAlignment="1">
      <alignment horizontal="left" vertical="center" wrapText="1"/>
    </xf>
    <xf numFmtId="0" fontId="46" fillId="0" borderId="4" xfId="0" applyFont="1" applyBorder="1" applyAlignment="1">
      <alignment horizontal="center" vertical="center" wrapText="1"/>
    </xf>
    <xf numFmtId="0" fontId="46" fillId="0" borderId="4" xfId="0" applyFont="1" applyBorder="1" applyAlignment="1">
      <alignment horizontal="left" vertical="center" wrapText="1"/>
    </xf>
    <xf numFmtId="0" fontId="9" fillId="13" borderId="3" xfId="0" applyFont="1" applyFill="1" applyBorder="1" applyAlignment="1">
      <alignment horizontal="center" vertical="center" wrapText="1"/>
    </xf>
    <xf numFmtId="0" fontId="50" fillId="0" borderId="0" xfId="0" applyFont="1" applyAlignment="1">
      <alignment horizontal="center" wrapText="1"/>
    </xf>
    <xf numFmtId="0" fontId="9" fillId="15"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11" borderId="3" xfId="0" applyFont="1" applyFill="1" applyBorder="1" applyAlignment="1">
      <alignment horizontal="center" vertical="center" wrapText="1"/>
    </xf>
    <xf numFmtId="0" fontId="9" fillId="9" borderId="3" xfId="0" applyFont="1" applyFill="1" applyBorder="1" applyAlignment="1">
      <alignment horizontal="center" vertical="center" wrapText="1"/>
    </xf>
    <xf numFmtId="0" fontId="51" fillId="2" borderId="3" xfId="0" applyFont="1" applyFill="1" applyBorder="1" applyAlignment="1">
      <alignment horizontal="center" vertical="center"/>
    </xf>
    <xf numFmtId="0" fontId="42" fillId="0" borderId="3" xfId="0" applyFont="1" applyBorder="1" applyAlignment="1">
      <alignment horizontal="center" vertical="center"/>
    </xf>
    <xf numFmtId="0" fontId="53" fillId="0" borderId="0" xfId="0" applyFont="1" applyAlignment="1">
      <alignment horizontal="center"/>
    </xf>
    <xf numFmtId="0" fontId="52" fillId="12" borderId="31" xfId="0" applyFont="1" applyFill="1" applyBorder="1" applyAlignment="1">
      <alignment horizontal="center" vertical="center" wrapText="1"/>
    </xf>
    <xf numFmtId="0" fontId="42" fillId="0" borderId="0" xfId="0" applyFont="1" applyAlignment="1">
      <alignment horizontal="center" vertical="center" wrapText="1"/>
    </xf>
    <xf numFmtId="0" fontId="25" fillId="4" borderId="0" xfId="2" applyFont="1" applyFill="1" applyAlignment="1">
      <alignment vertical="center" wrapText="1"/>
    </xf>
    <xf numFmtId="0" fontId="35" fillId="4" borderId="0" xfId="2" applyFont="1" applyFill="1" applyAlignment="1">
      <alignment vertical="center" wrapText="1"/>
    </xf>
    <xf numFmtId="0" fontId="36" fillId="0" borderId="0" xfId="0" applyFont="1" applyAlignment="1" applyProtection="1">
      <alignment horizontal="center" vertical="top"/>
      <protection hidden="1"/>
    </xf>
    <xf numFmtId="0" fontId="38" fillId="0" borderId="79" xfId="0" applyFont="1" applyBorder="1" applyAlignment="1" applyProtection="1">
      <alignment horizontal="center" vertical="center" wrapText="1"/>
      <protection hidden="1"/>
    </xf>
    <xf numFmtId="0" fontId="8" fillId="0" borderId="0" xfId="0" applyFont="1" applyAlignment="1" applyProtection="1">
      <alignment horizontal="center" vertical="top"/>
      <protection hidden="1"/>
    </xf>
    <xf numFmtId="0" fontId="39" fillId="0" borderId="9" xfId="0" applyFont="1" applyBorder="1" applyAlignment="1" applyProtection="1">
      <alignment horizontal="center" vertical="center" wrapText="1"/>
      <protection hidden="1"/>
    </xf>
    <xf numFmtId="49" fontId="8" fillId="0" borderId="0" xfId="0" applyNumberFormat="1" applyFont="1" applyAlignment="1" applyProtection="1">
      <alignment horizontal="center" vertical="top"/>
      <protection hidden="1"/>
    </xf>
    <xf numFmtId="0" fontId="38" fillId="0" borderId="9" xfId="0" applyFont="1" applyBorder="1" applyAlignment="1" applyProtection="1">
      <alignment horizontal="center" vertical="center" wrapText="1"/>
      <protection hidden="1"/>
    </xf>
    <xf numFmtId="0" fontId="38" fillId="0" borderId="80" xfId="0" applyFont="1" applyBorder="1" applyAlignment="1" applyProtection="1">
      <alignment horizontal="center" vertical="center" wrapText="1"/>
      <protection hidden="1"/>
    </xf>
    <xf numFmtId="0" fontId="8" fillId="0" borderId="0" xfId="0" applyFont="1" applyAlignment="1" applyProtection="1">
      <alignment vertical="top"/>
      <protection hidden="1"/>
    </xf>
    <xf numFmtId="0" fontId="43" fillId="0" borderId="2" xfId="0" applyFont="1" applyBorder="1" applyAlignment="1" applyProtection="1">
      <alignment horizontal="center" vertical="center" wrapText="1"/>
      <protection locked="0"/>
    </xf>
    <xf numFmtId="0" fontId="36" fillId="0" borderId="79" xfId="0" applyFont="1" applyBorder="1" applyAlignment="1" applyProtection="1">
      <alignment horizontal="left" vertical="center" wrapText="1"/>
      <protection locked="0"/>
    </xf>
    <xf numFmtId="0" fontId="43" fillId="0" borderId="3" xfId="0" applyFont="1" applyBorder="1" applyAlignment="1" applyProtection="1">
      <alignment horizontal="center" vertical="center" wrapText="1"/>
      <protection locked="0"/>
    </xf>
    <xf numFmtId="0" fontId="7" fillId="0" borderId="9" xfId="0" applyFont="1" applyBorder="1" applyAlignment="1" applyProtection="1">
      <alignment horizontal="left" vertical="center" wrapText="1"/>
      <protection locked="0"/>
    </xf>
    <xf numFmtId="0" fontId="36" fillId="0" borderId="9" xfId="0" applyFont="1" applyBorder="1" applyAlignment="1" applyProtection="1">
      <alignment horizontal="left" vertical="center" wrapText="1"/>
      <protection locked="0"/>
    </xf>
    <xf numFmtId="0" fontId="43" fillId="0" borderId="4" xfId="0" applyFont="1" applyBorder="1" applyAlignment="1" applyProtection="1">
      <alignment horizontal="center" vertical="center" wrapText="1"/>
      <protection locked="0"/>
    </xf>
    <xf numFmtId="0" fontId="36" fillId="0" borderId="80" xfId="0" applyFont="1" applyBorder="1" applyAlignment="1" applyProtection="1">
      <alignment horizontal="left" vertical="center" wrapText="1"/>
      <protection locked="0"/>
    </xf>
    <xf numFmtId="0" fontId="19" fillId="2" borderId="82" xfId="2" applyFont="1" applyFill="1" applyBorder="1" applyAlignment="1">
      <alignment horizontal="center" vertical="center"/>
    </xf>
    <xf numFmtId="0" fontId="19" fillId="2" borderId="82" xfId="2" applyFont="1" applyFill="1" applyBorder="1" applyAlignment="1">
      <alignment horizontal="center" vertical="center" wrapText="1"/>
    </xf>
    <xf numFmtId="0" fontId="1" fillId="0" borderId="2" xfId="0" applyFont="1" applyBorder="1" applyAlignment="1" applyProtection="1">
      <alignment horizontal="left" vertical="center" wrapText="1"/>
      <protection hidden="1"/>
    </xf>
    <xf numFmtId="0" fontId="0" fillId="0" borderId="2" xfId="0" applyBorder="1" applyAlignment="1" applyProtection="1">
      <alignment horizontal="center" vertical="center"/>
      <protection hidden="1"/>
    </xf>
    <xf numFmtId="0" fontId="40" fillId="0" borderId="84" xfId="0" applyFont="1" applyBorder="1" applyAlignment="1" applyProtection="1">
      <alignment vertical="center" wrapText="1"/>
      <protection hidden="1"/>
    </xf>
    <xf numFmtId="0" fontId="1" fillId="0" borderId="3" xfId="0" applyFont="1" applyBorder="1" applyAlignment="1" applyProtection="1">
      <alignment horizontal="left" vertical="center" wrapText="1"/>
      <protection hidden="1"/>
    </xf>
    <xf numFmtId="0" fontId="0" fillId="0" borderId="3" xfId="0" applyBorder="1" applyAlignment="1" applyProtection="1">
      <alignment horizontal="center" vertical="center"/>
      <protection hidden="1"/>
    </xf>
    <xf numFmtId="0" fontId="40" fillId="0" borderId="85" xfId="0" applyFont="1" applyBorder="1" applyAlignment="1" applyProtection="1">
      <alignment vertical="center" wrapText="1"/>
      <protection hidden="1"/>
    </xf>
    <xf numFmtId="0" fontId="1" fillId="0" borderId="4" xfId="0" applyFont="1" applyBorder="1" applyAlignment="1" applyProtection="1">
      <alignment horizontal="left" vertical="center" wrapText="1"/>
      <protection hidden="1"/>
    </xf>
    <xf numFmtId="0" fontId="0" fillId="0" borderId="4" xfId="0" applyBorder="1" applyAlignment="1" applyProtection="1">
      <alignment horizontal="center" vertical="center"/>
      <protection hidden="1"/>
    </xf>
    <xf numFmtId="0" fontId="40" fillId="0" borderId="86" xfId="0" applyFont="1" applyBorder="1" applyAlignment="1" applyProtection="1">
      <alignment vertical="center" wrapText="1"/>
      <protection hidden="1"/>
    </xf>
    <xf numFmtId="0" fontId="1" fillId="0" borderId="7" xfId="0" applyFont="1" applyBorder="1" applyAlignment="1" applyProtection="1">
      <alignment horizontal="left" vertical="center" wrapText="1"/>
      <protection hidden="1"/>
    </xf>
    <xf numFmtId="0" fontId="0" fillId="0" borderId="7" xfId="0" applyBorder="1" applyAlignment="1" applyProtection="1">
      <alignment horizontal="center" vertical="center"/>
      <protection hidden="1"/>
    </xf>
    <xf numFmtId="0" fontId="40" fillId="0" borderId="5" xfId="0" applyFont="1" applyBorder="1" applyAlignment="1" applyProtection="1">
      <alignment vertical="center" wrapText="1"/>
      <protection hidden="1"/>
    </xf>
    <xf numFmtId="0" fontId="1" fillId="0" borderId="6" xfId="0" applyFont="1" applyBorder="1" applyAlignment="1" applyProtection="1">
      <alignment horizontal="left" vertical="center" wrapText="1"/>
      <protection hidden="1"/>
    </xf>
    <xf numFmtId="0" fontId="0" fillId="0" borderId="6" xfId="0" applyBorder="1" applyAlignment="1" applyProtection="1">
      <alignment horizontal="center" vertical="center"/>
      <protection hidden="1"/>
    </xf>
    <xf numFmtId="0" fontId="40" fillId="0" borderId="6" xfId="0" applyFont="1" applyBorder="1" applyAlignment="1" applyProtection="1">
      <alignment vertical="center" wrapText="1"/>
      <protection hidden="1"/>
    </xf>
    <xf numFmtId="0" fontId="40" fillId="0" borderId="3" xfId="0" applyFont="1" applyBorder="1" applyAlignment="1" applyProtection="1">
      <alignment vertical="center" wrapText="1"/>
      <protection hidden="1"/>
    </xf>
    <xf numFmtId="0" fontId="40" fillId="0" borderId="7" xfId="0" applyFont="1" applyBorder="1" applyAlignment="1" applyProtection="1">
      <alignment vertical="center" wrapText="1"/>
      <protection hidden="1"/>
    </xf>
    <xf numFmtId="0" fontId="48" fillId="0" borderId="22" xfId="0" applyFont="1" applyBorder="1" applyAlignment="1" applyProtection="1">
      <alignment horizontal="center" vertical="center"/>
      <protection hidden="1"/>
    </xf>
    <xf numFmtId="9" fontId="0" fillId="0" borderId="90" xfId="0" applyNumberFormat="1" applyBorder="1" applyAlignment="1" applyProtection="1">
      <alignment horizontal="center" vertical="center"/>
      <protection hidden="1"/>
    </xf>
    <xf numFmtId="9" fontId="0" fillId="0" borderId="91" xfId="0" applyNumberFormat="1" applyBorder="1" applyAlignment="1" applyProtection="1">
      <alignment horizontal="center" vertical="center"/>
      <protection hidden="1"/>
    </xf>
    <xf numFmtId="9" fontId="0" fillId="0" borderId="92" xfId="0" applyNumberFormat="1" applyBorder="1" applyAlignment="1" applyProtection="1">
      <alignment horizontal="center" vertical="center"/>
      <protection hidden="1"/>
    </xf>
    <xf numFmtId="9" fontId="0" fillId="0" borderId="93" xfId="0" applyNumberFormat="1" applyBorder="1" applyAlignment="1" applyProtection="1">
      <alignment horizontal="center" vertical="center"/>
      <protection hidden="1"/>
    </xf>
    <xf numFmtId="9" fontId="0" fillId="0" borderId="6" xfId="0" applyNumberFormat="1" applyBorder="1" applyAlignment="1" applyProtection="1">
      <alignment horizontal="center" vertical="center"/>
      <protection hidden="1"/>
    </xf>
    <xf numFmtId="9" fontId="0" fillId="0" borderId="3" xfId="0" applyNumberFormat="1" applyBorder="1" applyAlignment="1" applyProtection="1">
      <alignment horizontal="center" vertical="center"/>
      <protection hidden="1"/>
    </xf>
    <xf numFmtId="9" fontId="0" fillId="0" borderId="7" xfId="0" applyNumberFormat="1" applyBorder="1" applyAlignment="1" applyProtection="1">
      <alignment horizontal="center" vertical="center"/>
      <protection hidden="1"/>
    </xf>
    <xf numFmtId="9" fontId="42" fillId="2" borderId="26" xfId="0" applyNumberFormat="1" applyFont="1" applyFill="1" applyBorder="1" applyAlignment="1" applyProtection="1">
      <alignment horizontal="center" vertical="center"/>
      <protection hidden="1"/>
    </xf>
    <xf numFmtId="0" fontId="42" fillId="0" borderId="3" xfId="0" applyFont="1" applyBorder="1" applyAlignment="1" applyProtection="1">
      <alignment horizontal="center" vertical="center"/>
      <protection hidden="1"/>
    </xf>
    <xf numFmtId="9" fontId="14" fillId="14" borderId="3" xfId="0" applyNumberFormat="1" applyFont="1" applyFill="1" applyBorder="1" applyAlignment="1" applyProtection="1">
      <alignment horizontal="center" vertical="center"/>
      <protection hidden="1"/>
    </xf>
    <xf numFmtId="49" fontId="55" fillId="4" borderId="2" xfId="0" applyNumberFormat="1" applyFont="1" applyFill="1" applyBorder="1" applyAlignment="1" applyProtection="1">
      <alignment horizontal="center" vertical="center" wrapText="1"/>
      <protection locked="0"/>
    </xf>
    <xf numFmtId="49" fontId="55" fillId="4" borderId="3" xfId="0" applyNumberFormat="1" applyFont="1" applyFill="1" applyBorder="1" applyAlignment="1" applyProtection="1">
      <alignment horizontal="center" vertical="center" wrapText="1"/>
      <protection locked="0"/>
    </xf>
    <xf numFmtId="49" fontId="55" fillId="4" borderId="4" xfId="0" applyNumberFormat="1" applyFont="1" applyFill="1" applyBorder="1" applyAlignment="1" applyProtection="1">
      <alignment horizontal="center" vertical="center" wrapText="1"/>
      <protection locked="0"/>
    </xf>
    <xf numFmtId="49" fontId="18" fillId="5" borderId="7" xfId="0" applyNumberFormat="1" applyFont="1" applyFill="1" applyBorder="1" applyAlignment="1" applyProtection="1">
      <alignment horizontal="center" vertical="center" wrapText="1"/>
      <protection hidden="1"/>
    </xf>
    <xf numFmtId="0" fontId="18" fillId="5" borderId="7" xfId="0" applyFont="1" applyFill="1" applyBorder="1" applyAlignment="1" applyProtection="1">
      <alignment horizontal="center" vertical="center" wrapText="1"/>
      <protection hidden="1"/>
    </xf>
    <xf numFmtId="0" fontId="18" fillId="5" borderId="10" xfId="0" applyFont="1" applyFill="1" applyBorder="1" applyAlignment="1" applyProtection="1">
      <alignment horizontal="center" vertical="center" wrapText="1"/>
      <protection hidden="1"/>
    </xf>
    <xf numFmtId="0" fontId="18" fillId="5" borderId="81" xfId="0" applyFont="1" applyFill="1" applyBorder="1" applyAlignment="1" applyProtection="1">
      <alignment horizontal="center" vertical="center" wrapText="1"/>
      <protection hidden="1"/>
    </xf>
    <xf numFmtId="0" fontId="0" fillId="0" borderId="0" xfId="0" applyProtection="1">
      <protection hidden="1"/>
    </xf>
    <xf numFmtId="9" fontId="0" fillId="0" borderId="0" xfId="1" applyFont="1" applyProtection="1">
      <protection hidden="1"/>
    </xf>
    <xf numFmtId="10" fontId="0" fillId="0" borderId="0" xfId="1" applyNumberFormat="1" applyFont="1" applyProtection="1">
      <protection hidden="1"/>
    </xf>
    <xf numFmtId="49" fontId="44" fillId="9" borderId="14" xfId="0" applyNumberFormat="1" applyFont="1" applyFill="1" applyBorder="1" applyAlignment="1">
      <alignment horizontal="center" vertical="center" wrapText="1"/>
    </xf>
    <xf numFmtId="49" fontId="44" fillId="9" borderId="11" xfId="0" applyNumberFormat="1" applyFont="1" applyFill="1" applyBorder="1" applyAlignment="1">
      <alignment horizontal="center" vertical="center" wrapText="1"/>
    </xf>
    <xf numFmtId="0" fontId="26" fillId="4" borderId="59" xfId="3" applyFont="1" applyFill="1" applyBorder="1" applyAlignment="1">
      <alignment horizontal="left" vertical="top" wrapText="1"/>
    </xf>
    <xf numFmtId="0" fontId="26" fillId="4" borderId="0" xfId="3" applyFont="1" applyFill="1" applyAlignment="1">
      <alignment horizontal="left" vertical="top" wrapText="1"/>
    </xf>
    <xf numFmtId="0" fontId="26" fillId="4" borderId="60" xfId="3" applyFont="1" applyFill="1" applyBorder="1" applyAlignment="1">
      <alignment horizontal="left" vertical="top" wrapText="1"/>
    </xf>
    <xf numFmtId="0" fontId="26" fillId="4" borderId="0" xfId="3" applyFont="1" applyFill="1"/>
    <xf numFmtId="0" fontId="34" fillId="4" borderId="77" xfId="0" applyFont="1" applyFill="1" applyBorder="1" applyAlignment="1">
      <alignment horizontal="left" vertical="center" wrapText="1"/>
    </xf>
    <xf numFmtId="0" fontId="34" fillId="4" borderId="78" xfId="0" applyFont="1" applyFill="1" applyBorder="1" applyAlignment="1">
      <alignment horizontal="left" vertical="center" wrapText="1"/>
    </xf>
    <xf numFmtId="0" fontId="35" fillId="0" borderId="69" xfId="3" applyFont="1" applyBorder="1" applyAlignment="1">
      <alignment horizontal="left" vertical="center" wrapText="1"/>
    </xf>
    <xf numFmtId="0" fontId="35" fillId="0" borderId="70" xfId="3" applyFont="1" applyBorder="1" applyAlignment="1">
      <alignment horizontal="left" vertical="center" wrapText="1"/>
    </xf>
    <xf numFmtId="0" fontId="17" fillId="2" borderId="44" xfId="2" applyFont="1" applyFill="1" applyBorder="1" applyAlignment="1">
      <alignment horizontal="center" vertical="center" wrapText="1"/>
    </xf>
    <xf numFmtId="0" fontId="17" fillId="2" borderId="45" xfId="2" applyFont="1" applyFill="1" applyBorder="1" applyAlignment="1">
      <alignment horizontal="center" vertical="center" wrapText="1"/>
    </xf>
    <xf numFmtId="0" fontId="25" fillId="7" borderId="50" xfId="2" applyFont="1" applyFill="1" applyBorder="1" applyAlignment="1">
      <alignment horizontal="center" vertical="center"/>
    </xf>
    <xf numFmtId="0" fontId="25" fillId="7" borderId="51" xfId="2" applyFont="1" applyFill="1" applyBorder="1" applyAlignment="1">
      <alignment horizontal="center" vertical="center"/>
    </xf>
    <xf numFmtId="0" fontId="26" fillId="0" borderId="56" xfId="2" applyFont="1" applyBorder="1" applyAlignment="1">
      <alignment horizontal="justify" vertical="center" wrapText="1"/>
    </xf>
    <xf numFmtId="0" fontId="26" fillId="0" borderId="57" xfId="2" applyFont="1" applyBorder="1" applyAlignment="1">
      <alignment horizontal="justify" vertical="center" wrapText="1"/>
    </xf>
    <xf numFmtId="0" fontId="25" fillId="8" borderId="52" xfId="2" applyFont="1" applyFill="1" applyBorder="1" applyAlignment="1">
      <alignment horizontal="center" vertical="center" wrapText="1"/>
    </xf>
    <xf numFmtId="0" fontId="25" fillId="8" borderId="53" xfId="2" applyFont="1" applyFill="1" applyBorder="1" applyAlignment="1">
      <alignment horizontal="center" vertical="center"/>
    </xf>
    <xf numFmtId="0" fontId="26" fillId="0" borderId="53" xfId="2" applyFont="1" applyBorder="1" applyAlignment="1">
      <alignment horizontal="justify" vertical="center" wrapText="1"/>
    </xf>
    <xf numFmtId="0" fontId="26" fillId="0" borderId="54" xfId="2" applyFont="1" applyBorder="1" applyAlignment="1">
      <alignment horizontal="justify" vertical="center" wrapText="1"/>
    </xf>
    <xf numFmtId="0" fontId="37" fillId="4" borderId="71" xfId="2" applyFont="1" applyFill="1" applyBorder="1" applyAlignment="1">
      <alignment horizontal="center" vertical="center" wrapText="1"/>
    </xf>
    <xf numFmtId="0" fontId="24" fillId="4" borderId="71" xfId="2" applyFont="1" applyFill="1" applyBorder="1" applyAlignment="1">
      <alignment horizontal="center" vertical="center" wrapText="1"/>
    </xf>
    <xf numFmtId="0" fontId="17" fillId="2" borderId="46" xfId="2" applyFont="1" applyFill="1" applyBorder="1" applyAlignment="1">
      <alignment horizontal="center" vertical="center" wrapText="1"/>
    </xf>
    <xf numFmtId="0" fontId="25" fillId="14" borderId="47" xfId="2" applyFont="1" applyFill="1" applyBorder="1" applyAlignment="1">
      <alignment horizontal="center" vertical="center"/>
    </xf>
    <xf numFmtId="0" fontId="25" fillId="14" borderId="48" xfId="2" applyFont="1" applyFill="1" applyBorder="1" applyAlignment="1">
      <alignment horizontal="center" vertical="center"/>
    </xf>
    <xf numFmtId="0" fontId="26" fillId="0" borderId="48" xfId="2" applyFont="1" applyBorder="1" applyAlignment="1">
      <alignment horizontal="justify" vertical="center" wrapText="1"/>
    </xf>
    <xf numFmtId="0" fontId="26" fillId="0" borderId="49" xfId="2" applyFont="1" applyBorder="1" applyAlignment="1">
      <alignment horizontal="justify" vertical="center" wrapText="1"/>
    </xf>
    <xf numFmtId="0" fontId="34" fillId="4" borderId="75" xfId="4" applyFont="1" applyFill="1" applyBorder="1" applyAlignment="1">
      <alignment horizontal="left" vertical="center" wrapText="1" readingOrder="1"/>
    </xf>
    <xf numFmtId="0" fontId="34" fillId="4" borderId="76" xfId="4" applyFont="1" applyFill="1" applyBorder="1" applyAlignment="1">
      <alignment horizontal="left" vertical="center" wrapText="1" readingOrder="1"/>
    </xf>
    <xf numFmtId="0" fontId="35" fillId="0" borderId="65" xfId="3" applyFont="1" applyBorder="1" applyAlignment="1">
      <alignment horizontal="left" vertical="center" wrapText="1"/>
    </xf>
    <xf numFmtId="0" fontId="35" fillId="0" borderId="66" xfId="3" applyFont="1" applyBorder="1" applyAlignment="1">
      <alignment horizontal="left" vertical="center" wrapText="1"/>
    </xf>
    <xf numFmtId="0" fontId="34" fillId="4" borderId="67" xfId="0" applyFont="1" applyFill="1" applyBorder="1" applyAlignment="1">
      <alignment horizontal="left" vertical="center" wrapText="1"/>
    </xf>
    <xf numFmtId="0" fontId="34" fillId="4" borderId="68" xfId="0" applyFont="1" applyFill="1" applyBorder="1" applyAlignment="1">
      <alignment horizontal="left" vertical="center" wrapText="1"/>
    </xf>
    <xf numFmtId="0" fontId="35" fillId="0" borderId="69" xfId="3" applyFont="1" applyBorder="1" applyAlignment="1">
      <alignment horizontal="left" vertical="top" wrapText="1"/>
    </xf>
    <xf numFmtId="0" fontId="35" fillId="0" borderId="70" xfId="3" applyFont="1" applyBorder="1" applyAlignment="1">
      <alignment horizontal="left" vertical="top" wrapText="1"/>
    </xf>
    <xf numFmtId="0" fontId="30" fillId="0" borderId="58" xfId="3" applyFont="1" applyBorder="1" applyAlignment="1">
      <alignment horizontal="center" vertical="center" wrapText="1"/>
    </xf>
    <xf numFmtId="0" fontId="30" fillId="0" borderId="55" xfId="3" applyFont="1" applyBorder="1" applyAlignment="1">
      <alignment horizontal="center" vertical="center" wrapText="1"/>
    </xf>
    <xf numFmtId="0" fontId="30" fillId="0" borderId="8" xfId="3" applyFont="1" applyBorder="1" applyAlignment="1">
      <alignment horizontal="center" vertical="center" wrapText="1"/>
    </xf>
    <xf numFmtId="0" fontId="26" fillId="0" borderId="59" xfId="3" quotePrefix="1" applyFont="1" applyBorder="1" applyAlignment="1">
      <alignment horizontal="left" vertical="center" wrapText="1"/>
    </xf>
    <xf numFmtId="0" fontId="26" fillId="0" borderId="0" xfId="3" quotePrefix="1" applyFont="1" applyAlignment="1">
      <alignment horizontal="left" vertical="center" wrapText="1"/>
    </xf>
    <xf numFmtId="0" fontId="26" fillId="0" borderId="60" xfId="3" quotePrefix="1" applyFont="1" applyBorder="1" applyAlignment="1">
      <alignment horizontal="left" vertical="center" wrapText="1"/>
    </xf>
    <xf numFmtId="0" fontId="31" fillId="4" borderId="59" xfId="3" quotePrefix="1" applyFont="1" applyFill="1" applyBorder="1" applyAlignment="1">
      <alignment horizontal="left" vertical="top" wrapText="1"/>
    </xf>
    <xf numFmtId="0" fontId="25" fillId="4" borderId="0" xfId="3" quotePrefix="1" applyFont="1" applyFill="1" applyAlignment="1">
      <alignment horizontal="left" vertical="top" wrapText="1"/>
    </xf>
    <xf numFmtId="0" fontId="25" fillId="4" borderId="60" xfId="3" quotePrefix="1" applyFont="1" applyFill="1" applyBorder="1" applyAlignment="1">
      <alignment horizontal="left" vertical="top" wrapText="1"/>
    </xf>
    <xf numFmtId="0" fontId="26" fillId="4" borderId="59" xfId="3" quotePrefix="1" applyFont="1" applyFill="1" applyBorder="1" applyAlignment="1">
      <alignment horizontal="left" vertical="top" wrapText="1"/>
    </xf>
    <xf numFmtId="0" fontId="26" fillId="4" borderId="0" xfId="3" quotePrefix="1" applyFont="1" applyFill="1" applyAlignment="1">
      <alignment horizontal="left" vertical="top" wrapText="1"/>
    </xf>
    <xf numFmtId="0" fontId="26" fillId="4" borderId="60" xfId="3" quotePrefix="1" applyFont="1" applyFill="1" applyBorder="1" applyAlignment="1">
      <alignment horizontal="left" vertical="top" wrapText="1"/>
    </xf>
    <xf numFmtId="0" fontId="34" fillId="16" borderId="61" xfId="4" applyFont="1" applyFill="1" applyBorder="1" applyAlignment="1">
      <alignment horizontal="center" vertical="center" wrapText="1"/>
    </xf>
    <xf numFmtId="0" fontId="34" fillId="16" borderId="62" xfId="4" applyFont="1" applyFill="1" applyBorder="1" applyAlignment="1">
      <alignment horizontal="center" vertical="center" wrapText="1"/>
    </xf>
    <xf numFmtId="0" fontId="34" fillId="16" borderId="63" xfId="3" applyFont="1" applyFill="1" applyBorder="1" applyAlignment="1">
      <alignment horizontal="center" vertical="center"/>
    </xf>
    <xf numFmtId="0" fontId="34" fillId="16" borderId="64" xfId="3" applyFont="1" applyFill="1" applyBorder="1" applyAlignment="1">
      <alignment horizontal="center" vertical="center"/>
    </xf>
    <xf numFmtId="49" fontId="45" fillId="5" borderId="0" xfId="0" applyNumberFormat="1" applyFont="1" applyFill="1" applyAlignment="1">
      <alignment horizontal="center" vertical="center"/>
    </xf>
    <xf numFmtId="0" fontId="44" fillId="11" borderId="11" xfId="0" applyFont="1" applyFill="1" applyBorder="1" applyAlignment="1">
      <alignment horizontal="center" vertical="center" wrapText="1"/>
    </xf>
    <xf numFmtId="0" fontId="44" fillId="11" borderId="12" xfId="0" applyFont="1" applyFill="1" applyBorder="1" applyAlignment="1">
      <alignment horizontal="center" vertical="center" wrapText="1"/>
    </xf>
    <xf numFmtId="0" fontId="44" fillId="11" borderId="13" xfId="0" applyFont="1" applyFill="1" applyBorder="1" applyAlignment="1">
      <alignment horizontal="center" vertical="center" wrapText="1"/>
    </xf>
    <xf numFmtId="49" fontId="44" fillId="11" borderId="14" xfId="0" applyNumberFormat="1" applyFont="1" applyFill="1" applyBorder="1" applyAlignment="1">
      <alignment horizontal="center" vertical="center" wrapText="1"/>
    </xf>
    <xf numFmtId="49" fontId="44" fillId="11" borderId="15" xfId="0" applyNumberFormat="1" applyFont="1" applyFill="1" applyBorder="1" applyAlignment="1">
      <alignment horizontal="center" vertical="center" wrapText="1"/>
    </xf>
    <xf numFmtId="49" fontId="44" fillId="11" borderId="16" xfId="0" applyNumberFormat="1" applyFont="1" applyFill="1" applyBorder="1" applyAlignment="1">
      <alignment horizontal="center" vertical="center" wrapText="1"/>
    </xf>
    <xf numFmtId="0" fontId="44" fillId="9" borderId="11" xfId="0" applyFont="1" applyFill="1" applyBorder="1" applyAlignment="1">
      <alignment horizontal="center" vertical="center" wrapText="1"/>
    </xf>
    <xf numFmtId="0" fontId="44" fillId="9" borderId="12" xfId="0" applyFont="1" applyFill="1" applyBorder="1" applyAlignment="1">
      <alignment horizontal="center" vertical="center" wrapText="1"/>
    </xf>
    <xf numFmtId="0" fontId="44" fillId="9" borderId="13" xfId="0" applyFont="1" applyFill="1" applyBorder="1" applyAlignment="1">
      <alignment horizontal="center" vertical="center" wrapText="1"/>
    </xf>
    <xf numFmtId="49" fontId="44" fillId="9" borderId="14" xfId="0" applyNumberFormat="1" applyFont="1" applyFill="1" applyBorder="1" applyAlignment="1">
      <alignment horizontal="center" vertical="center" wrapText="1"/>
    </xf>
    <xf numFmtId="49" fontId="44" fillId="9" borderId="15" xfId="0" applyNumberFormat="1" applyFont="1" applyFill="1" applyBorder="1" applyAlignment="1">
      <alignment horizontal="center" vertical="center" wrapText="1"/>
    </xf>
    <xf numFmtId="49" fontId="44" fillId="9" borderId="16" xfId="0" applyNumberFormat="1" applyFont="1" applyFill="1" applyBorder="1" applyAlignment="1">
      <alignment horizontal="center" vertical="center" wrapText="1"/>
    </xf>
    <xf numFmtId="0" fontId="44" fillId="6" borderId="11" xfId="0" applyFont="1" applyFill="1" applyBorder="1" applyAlignment="1">
      <alignment horizontal="center" vertical="center" wrapText="1"/>
    </xf>
    <xf numFmtId="0" fontId="44" fillId="6" borderId="12" xfId="0" applyFont="1" applyFill="1" applyBorder="1" applyAlignment="1">
      <alignment horizontal="center" vertical="center" wrapText="1"/>
    </xf>
    <xf numFmtId="0" fontId="44" fillId="6" borderId="13" xfId="0" applyFont="1" applyFill="1" applyBorder="1" applyAlignment="1">
      <alignment horizontal="center" vertical="center" wrapText="1"/>
    </xf>
    <xf numFmtId="49" fontId="8" fillId="6" borderId="14" xfId="0" applyNumberFormat="1" applyFont="1" applyFill="1" applyBorder="1" applyAlignment="1">
      <alignment horizontal="center" vertical="center" wrapText="1"/>
    </xf>
    <xf numFmtId="49" fontId="8" fillId="6" borderId="15" xfId="0" applyNumberFormat="1" applyFont="1" applyFill="1" applyBorder="1" applyAlignment="1">
      <alignment horizontal="center" vertical="center" wrapText="1"/>
    </xf>
    <xf numFmtId="49" fontId="8" fillId="6" borderId="16" xfId="0" applyNumberFormat="1" applyFont="1" applyFill="1" applyBorder="1" applyAlignment="1">
      <alignment horizontal="center" vertical="center" wrapText="1"/>
    </xf>
    <xf numFmtId="49" fontId="8" fillId="10" borderId="14" xfId="0" applyNumberFormat="1" applyFont="1" applyFill="1" applyBorder="1" applyAlignment="1">
      <alignment horizontal="center" vertical="center" wrapText="1"/>
    </xf>
    <xf numFmtId="49" fontId="8" fillId="10" borderId="15" xfId="0" applyNumberFormat="1" applyFont="1" applyFill="1" applyBorder="1" applyAlignment="1">
      <alignment horizontal="center" vertical="center" wrapText="1"/>
    </xf>
    <xf numFmtId="49" fontId="8" fillId="10" borderId="16" xfId="0" applyNumberFormat="1" applyFont="1" applyFill="1" applyBorder="1" applyAlignment="1">
      <alignment horizontal="center" vertical="center" wrapText="1"/>
    </xf>
    <xf numFmtId="0" fontId="44" fillId="10" borderId="11" xfId="0" applyFont="1" applyFill="1" applyBorder="1" applyAlignment="1">
      <alignment horizontal="center" vertical="center" wrapText="1"/>
    </xf>
    <xf numFmtId="0" fontId="44" fillId="10" borderId="12" xfId="0" applyFont="1" applyFill="1" applyBorder="1" applyAlignment="1">
      <alignment horizontal="center" vertical="center" wrapText="1"/>
    </xf>
    <xf numFmtId="0" fontId="44" fillId="10" borderId="13" xfId="0" applyFont="1" applyFill="1" applyBorder="1" applyAlignment="1">
      <alignment horizontal="center" vertical="center" wrapText="1"/>
    </xf>
    <xf numFmtId="0" fontId="44" fillId="9" borderId="6" xfId="0" applyFont="1" applyFill="1" applyBorder="1" applyAlignment="1">
      <alignment horizontal="center" vertical="center" wrapText="1"/>
    </xf>
    <xf numFmtId="49" fontId="44" fillId="6" borderId="11" xfId="0" applyNumberFormat="1" applyFont="1" applyFill="1" applyBorder="1" applyAlignment="1">
      <alignment horizontal="center" vertical="center" wrapText="1"/>
    </xf>
    <xf numFmtId="49" fontId="44" fillId="6" borderId="12" xfId="0" applyNumberFormat="1" applyFont="1" applyFill="1" applyBorder="1" applyAlignment="1">
      <alignment horizontal="center" vertical="center" wrapText="1"/>
    </xf>
    <xf numFmtId="49" fontId="44" fillId="6" borderId="13" xfId="0" applyNumberFormat="1" applyFont="1" applyFill="1" applyBorder="1" applyAlignment="1">
      <alignment horizontal="center" vertical="center" wrapText="1"/>
    </xf>
    <xf numFmtId="49" fontId="44" fillId="10" borderId="11" xfId="0" applyNumberFormat="1" applyFont="1" applyFill="1" applyBorder="1" applyAlignment="1">
      <alignment horizontal="center" vertical="center" wrapText="1"/>
    </xf>
    <xf numFmtId="49" fontId="44" fillId="10" borderId="12" xfId="0" applyNumberFormat="1" applyFont="1" applyFill="1" applyBorder="1" applyAlignment="1">
      <alignment horizontal="center" vertical="center" wrapText="1"/>
    </xf>
    <xf numFmtId="49" fontId="44" fillId="10" borderId="13" xfId="0" applyNumberFormat="1" applyFont="1" applyFill="1" applyBorder="1" applyAlignment="1">
      <alignment horizontal="center" vertical="center" wrapText="1"/>
    </xf>
    <xf numFmtId="49" fontId="44" fillId="2" borderId="11" xfId="0" applyNumberFormat="1" applyFont="1" applyFill="1" applyBorder="1" applyAlignment="1">
      <alignment horizontal="center" vertical="center" wrapText="1"/>
    </xf>
    <xf numFmtId="49" fontId="44" fillId="2" borderId="12" xfId="0" applyNumberFormat="1" applyFont="1" applyFill="1" applyBorder="1" applyAlignment="1">
      <alignment horizontal="center" vertical="center" wrapText="1"/>
    </xf>
    <xf numFmtId="49" fontId="44" fillId="2" borderId="13" xfId="0" applyNumberFormat="1" applyFont="1" applyFill="1" applyBorder="1" applyAlignment="1">
      <alignment horizontal="center" vertical="center" wrapText="1"/>
    </xf>
    <xf numFmtId="49" fontId="44" fillId="11" borderId="11" xfId="0" applyNumberFormat="1" applyFont="1" applyFill="1" applyBorder="1" applyAlignment="1">
      <alignment horizontal="center" vertical="center" wrapText="1"/>
    </xf>
    <xf numFmtId="49" fontId="44" fillId="11" borderId="12" xfId="0" applyNumberFormat="1" applyFont="1" applyFill="1" applyBorder="1" applyAlignment="1">
      <alignment horizontal="center" vertical="center" wrapText="1"/>
    </xf>
    <xf numFmtId="49" fontId="44" fillId="11" borderId="13" xfId="0" applyNumberFormat="1" applyFont="1" applyFill="1" applyBorder="1" applyAlignment="1">
      <alignment horizontal="center" vertical="center" wrapText="1"/>
    </xf>
    <xf numFmtId="49" fontId="44" fillId="9" borderId="11" xfId="0" applyNumberFormat="1" applyFont="1" applyFill="1" applyBorder="1" applyAlignment="1">
      <alignment horizontal="center" vertical="center" wrapText="1"/>
    </xf>
    <xf numFmtId="49" fontId="44" fillId="9" borderId="12" xfId="0" applyNumberFormat="1" applyFont="1" applyFill="1" applyBorder="1" applyAlignment="1">
      <alignment horizontal="center" vertical="center" wrapText="1"/>
    </xf>
    <xf numFmtId="49" fontId="44" fillId="9" borderId="13" xfId="0" applyNumberFormat="1" applyFont="1" applyFill="1" applyBorder="1" applyAlignment="1">
      <alignment horizontal="center" vertical="center" wrapText="1"/>
    </xf>
    <xf numFmtId="49" fontId="44" fillId="10" borderId="3" xfId="0" applyNumberFormat="1" applyFont="1" applyFill="1" applyBorder="1" applyAlignment="1">
      <alignment horizontal="center" vertical="center" wrapText="1"/>
    </xf>
    <xf numFmtId="0" fontId="44" fillId="10" borderId="3" xfId="0" applyFont="1" applyFill="1" applyBorder="1" applyAlignment="1">
      <alignment horizontal="center" vertical="center" wrapText="1"/>
    </xf>
    <xf numFmtId="49" fontId="44" fillId="10" borderId="15" xfId="0" applyNumberFormat="1" applyFont="1" applyFill="1" applyBorder="1" applyAlignment="1">
      <alignment horizontal="center" vertical="center" wrapText="1"/>
    </xf>
    <xf numFmtId="49" fontId="44" fillId="2" borderId="14" xfId="0" applyNumberFormat="1" applyFont="1" applyFill="1" applyBorder="1" applyAlignment="1">
      <alignment horizontal="center" vertical="center" wrapText="1"/>
    </xf>
    <xf numFmtId="49" fontId="44" fillId="2" borderId="15" xfId="0" applyNumberFormat="1" applyFont="1" applyFill="1" applyBorder="1" applyAlignment="1">
      <alignment horizontal="center" vertical="center" wrapText="1"/>
    </xf>
    <xf numFmtId="49" fontId="44" fillId="2" borderId="16" xfId="0" applyNumberFormat="1" applyFont="1" applyFill="1" applyBorder="1" applyAlignment="1">
      <alignment horizontal="center" vertical="center" wrapText="1"/>
    </xf>
    <xf numFmtId="0" fontId="44" fillId="2" borderId="11" xfId="0" applyFont="1" applyFill="1" applyBorder="1" applyAlignment="1">
      <alignment horizontal="center" vertical="center" wrapText="1"/>
    </xf>
    <xf numFmtId="0" fontId="44" fillId="2" borderId="12" xfId="0" applyFont="1" applyFill="1" applyBorder="1" applyAlignment="1">
      <alignment horizontal="center" vertical="center" wrapText="1"/>
    </xf>
    <xf numFmtId="0" fontId="44" fillId="2" borderId="13" xfId="0" applyFont="1" applyFill="1" applyBorder="1" applyAlignment="1">
      <alignment horizontal="center" vertical="center" wrapText="1"/>
    </xf>
    <xf numFmtId="0" fontId="6" fillId="2" borderId="24"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25" xfId="0" applyFont="1" applyFill="1" applyBorder="1" applyAlignment="1">
      <alignment horizontal="center" vertical="center"/>
    </xf>
    <xf numFmtId="0" fontId="19" fillId="3" borderId="32" xfId="2" applyFont="1" applyFill="1" applyBorder="1" applyAlignment="1">
      <alignment horizontal="center" vertical="center" wrapText="1"/>
    </xf>
    <xf numFmtId="0" fontId="19" fillId="3" borderId="33" xfId="2" applyFont="1" applyFill="1" applyBorder="1" applyAlignment="1">
      <alignment horizontal="center" vertical="center" wrapText="1"/>
    </xf>
    <xf numFmtId="0" fontId="23" fillId="6" borderId="14" xfId="0" applyFont="1" applyFill="1" applyBorder="1" applyAlignment="1">
      <alignment horizontal="center" vertical="center" textRotation="90" wrapText="1"/>
    </xf>
    <xf numFmtId="0" fontId="23" fillId="6" borderId="15" xfId="0" applyFont="1" applyFill="1" applyBorder="1" applyAlignment="1">
      <alignment horizontal="center" vertical="center" textRotation="90" wrapText="1"/>
    </xf>
    <xf numFmtId="0" fontId="23" fillId="6" borderId="16" xfId="0" applyFont="1" applyFill="1" applyBorder="1" applyAlignment="1">
      <alignment horizontal="center" vertical="center" textRotation="90" wrapText="1"/>
    </xf>
    <xf numFmtId="0" fontId="19" fillId="2" borderId="37" xfId="2" applyFont="1" applyFill="1" applyBorder="1" applyAlignment="1">
      <alignment horizontal="center" vertical="center" wrapText="1"/>
    </xf>
    <xf numFmtId="0" fontId="19" fillId="2" borderId="83" xfId="2" applyFont="1" applyFill="1" applyBorder="1" applyAlignment="1">
      <alignment horizontal="center" vertical="center" wrapText="1"/>
    </xf>
    <xf numFmtId="0" fontId="19" fillId="2" borderId="38" xfId="2" applyFont="1" applyFill="1" applyBorder="1" applyAlignment="1">
      <alignment horizontal="center" vertical="center" wrapText="1"/>
    </xf>
    <xf numFmtId="0" fontId="19" fillId="2" borderId="39" xfId="2" applyFont="1" applyFill="1" applyBorder="1" applyAlignment="1">
      <alignment horizontal="center" vertical="center" wrapText="1"/>
    </xf>
    <xf numFmtId="0" fontId="19" fillId="2" borderId="40" xfId="2" applyFont="1" applyFill="1" applyBorder="1" applyAlignment="1">
      <alignment horizontal="center" vertical="center" wrapText="1"/>
    </xf>
    <xf numFmtId="0" fontId="19" fillId="2" borderId="42" xfId="2" applyFont="1" applyFill="1" applyBorder="1" applyAlignment="1">
      <alignment horizontal="center" vertical="center" wrapText="1"/>
    </xf>
    <xf numFmtId="0" fontId="19" fillId="2" borderId="41" xfId="2" applyFont="1" applyFill="1" applyBorder="1" applyAlignment="1">
      <alignment horizontal="center" vertical="center" wrapText="1"/>
    </xf>
    <xf numFmtId="0" fontId="19" fillId="2" borderId="43" xfId="2" applyFont="1" applyFill="1" applyBorder="1" applyAlignment="1">
      <alignment horizontal="center" vertical="center" wrapText="1"/>
    </xf>
    <xf numFmtId="9" fontId="41" fillId="0" borderId="87" xfId="0" applyNumberFormat="1" applyFont="1" applyBorder="1" applyAlignment="1" applyProtection="1">
      <alignment horizontal="center" vertical="center"/>
      <protection hidden="1"/>
    </xf>
    <xf numFmtId="9" fontId="41" fillId="0" borderId="88" xfId="0" applyNumberFormat="1" applyFont="1" applyBorder="1" applyAlignment="1" applyProtection="1">
      <alignment horizontal="center" vertical="center"/>
      <protection hidden="1"/>
    </xf>
    <xf numFmtId="9" fontId="28" fillId="7" borderId="84" xfId="1" applyFont="1" applyFill="1" applyBorder="1" applyAlignment="1" applyProtection="1">
      <alignment horizontal="center" vertical="center"/>
      <protection hidden="1"/>
    </xf>
    <xf numFmtId="9" fontId="28" fillId="7" borderId="85" xfId="1" applyFont="1" applyFill="1" applyBorder="1" applyAlignment="1" applyProtection="1">
      <alignment horizontal="center" vertical="center"/>
      <protection hidden="1"/>
    </xf>
    <xf numFmtId="9" fontId="28" fillId="7" borderId="86" xfId="1" applyFont="1" applyFill="1" applyBorder="1" applyAlignment="1" applyProtection="1">
      <alignment horizontal="center" vertical="center"/>
      <protection hidden="1"/>
    </xf>
    <xf numFmtId="0" fontId="27" fillId="9" borderId="14" xfId="0" applyFont="1" applyFill="1" applyBorder="1" applyAlignment="1">
      <alignment horizontal="center" vertical="center" textRotation="90"/>
    </xf>
    <xf numFmtId="0" fontId="27" fillId="9" borderId="15" xfId="0" applyFont="1" applyFill="1" applyBorder="1" applyAlignment="1">
      <alignment horizontal="center" vertical="center" textRotation="90"/>
    </xf>
    <xf numFmtId="0" fontId="27" fillId="9" borderId="16" xfId="0" applyFont="1" applyFill="1" applyBorder="1" applyAlignment="1">
      <alignment horizontal="center" vertical="center" textRotation="90"/>
    </xf>
    <xf numFmtId="9" fontId="41" fillId="4" borderId="87" xfId="0" applyNumberFormat="1" applyFont="1" applyFill="1" applyBorder="1" applyAlignment="1" applyProtection="1">
      <alignment horizontal="center" vertical="center"/>
      <protection hidden="1"/>
    </xf>
    <xf numFmtId="9" fontId="41" fillId="4" borderId="88" xfId="0" applyNumberFormat="1" applyFont="1" applyFill="1" applyBorder="1" applyAlignment="1" applyProtection="1">
      <alignment horizontal="center" vertical="center"/>
      <protection hidden="1"/>
    </xf>
    <xf numFmtId="9" fontId="41" fillId="4" borderId="89" xfId="0" applyNumberFormat="1" applyFont="1" applyFill="1" applyBorder="1" applyAlignment="1" applyProtection="1">
      <alignment horizontal="center" vertical="center"/>
      <protection hidden="1"/>
    </xf>
    <xf numFmtId="0" fontId="27" fillId="11" borderId="15" xfId="0" applyFont="1" applyFill="1" applyBorder="1" applyAlignment="1">
      <alignment horizontal="center" vertical="center" textRotation="90"/>
    </xf>
    <xf numFmtId="0" fontId="27" fillId="2" borderId="14" xfId="0" applyFont="1" applyFill="1" applyBorder="1" applyAlignment="1">
      <alignment horizontal="center" vertical="center" textRotation="90"/>
    </xf>
    <xf numFmtId="0" fontId="27" fillId="2" borderId="15" xfId="0" applyFont="1" applyFill="1" applyBorder="1" applyAlignment="1">
      <alignment horizontal="center" vertical="center" textRotation="90"/>
    </xf>
    <xf numFmtId="0" fontId="27" fillId="2" borderId="16" xfId="0" applyFont="1" applyFill="1" applyBorder="1" applyAlignment="1">
      <alignment horizontal="center" vertical="center" textRotation="90"/>
    </xf>
    <xf numFmtId="9" fontId="41" fillId="0" borderId="89" xfId="0" applyNumberFormat="1" applyFont="1" applyBorder="1" applyAlignment="1" applyProtection="1">
      <alignment horizontal="center" vertical="center"/>
      <protection hidden="1"/>
    </xf>
    <xf numFmtId="0" fontId="27" fillId="10" borderId="14" xfId="0" applyFont="1" applyFill="1" applyBorder="1" applyAlignment="1">
      <alignment horizontal="center" vertical="center" textRotation="90"/>
    </xf>
    <xf numFmtId="0" fontId="27" fillId="10" borderId="15" xfId="0" applyFont="1" applyFill="1" applyBorder="1" applyAlignment="1">
      <alignment horizontal="center" vertical="center" textRotation="90"/>
    </xf>
    <xf numFmtId="0" fontId="48" fillId="0" borderId="24" xfId="0" applyFont="1" applyBorder="1" applyAlignment="1" applyProtection="1">
      <alignment horizontal="center" vertical="center" wrapText="1"/>
      <protection locked="0"/>
    </xf>
    <xf numFmtId="0" fontId="48" fillId="0" borderId="1" xfId="0" applyFont="1" applyBorder="1" applyAlignment="1" applyProtection="1">
      <alignment horizontal="center" vertical="center" wrapText="1"/>
      <protection locked="0"/>
    </xf>
    <xf numFmtId="0" fontId="48" fillId="0" borderId="25" xfId="0" applyFont="1" applyBorder="1" applyAlignment="1" applyProtection="1">
      <alignment horizontal="center" vertical="center" wrapText="1"/>
      <protection locked="0"/>
    </xf>
    <xf numFmtId="0" fontId="52" fillId="12" borderId="0" xfId="0" applyFont="1" applyFill="1" applyAlignment="1">
      <alignment horizontal="center" vertical="center" wrapText="1"/>
    </xf>
    <xf numFmtId="0" fontId="57" fillId="0" borderId="24" xfId="0" applyFont="1" applyBorder="1" applyAlignment="1" applyProtection="1">
      <alignment horizontal="center" vertical="center" wrapText="1"/>
      <protection locked="0"/>
    </xf>
    <xf numFmtId="0" fontId="58" fillId="0" borderId="1" xfId="0" applyFont="1" applyBorder="1" applyAlignment="1" applyProtection="1">
      <alignment horizontal="center" vertical="center" wrapText="1"/>
      <protection locked="0"/>
    </xf>
    <xf numFmtId="0" fontId="58" fillId="0" borderId="25" xfId="0" applyFont="1" applyBorder="1" applyAlignment="1" applyProtection="1">
      <alignment horizontal="center" vertical="center" wrapText="1"/>
      <protection locked="0"/>
    </xf>
    <xf numFmtId="0" fontId="0" fillId="0" borderId="73" xfId="0" applyBorder="1" applyAlignment="1">
      <alignment horizontal="center"/>
    </xf>
    <xf numFmtId="0" fontId="0" fillId="0" borderId="1" xfId="0" applyBorder="1" applyAlignment="1">
      <alignment horizontal="center"/>
    </xf>
    <xf numFmtId="49" fontId="49" fillId="4" borderId="91" xfId="0" applyNumberFormat="1" applyFont="1" applyFill="1" applyBorder="1" applyAlignment="1">
      <alignment horizontal="left" vertical="center" wrapText="1"/>
    </xf>
    <xf numFmtId="49" fontId="49" fillId="4" borderId="3" xfId="0" applyNumberFormat="1" applyFont="1" applyFill="1" applyBorder="1" applyAlignment="1">
      <alignment horizontal="left" vertical="center" wrapText="1"/>
    </xf>
    <xf numFmtId="49" fontId="49" fillId="4" borderId="92" xfId="0" applyNumberFormat="1" applyFont="1" applyFill="1" applyBorder="1" applyAlignment="1">
      <alignment horizontal="left" vertical="center" wrapText="1"/>
    </xf>
    <xf numFmtId="49" fontId="49" fillId="4" borderId="4" xfId="0" applyNumberFormat="1" applyFont="1" applyFill="1" applyBorder="1" applyAlignment="1">
      <alignment horizontal="left" vertical="center" wrapText="1"/>
    </xf>
    <xf numFmtId="0" fontId="51" fillId="2" borderId="7" xfId="0" applyFont="1" applyFill="1" applyBorder="1" applyAlignment="1">
      <alignment horizontal="center" vertical="center" wrapText="1"/>
    </xf>
    <xf numFmtId="0" fontId="51" fillId="2" borderId="6" xfId="0" applyFont="1" applyFill="1" applyBorder="1" applyAlignment="1">
      <alignment horizontal="center" vertical="center" wrapText="1"/>
    </xf>
    <xf numFmtId="0" fontId="56" fillId="4" borderId="3" xfId="0" applyFont="1" applyFill="1" applyBorder="1" applyAlignment="1" applyProtection="1">
      <alignment horizontal="center" vertical="center"/>
      <protection locked="0"/>
    </xf>
    <xf numFmtId="164" fontId="56" fillId="4" borderId="22" xfId="0" applyNumberFormat="1" applyFont="1" applyFill="1" applyBorder="1" applyAlignment="1" applyProtection="1">
      <alignment horizontal="center" vertical="center"/>
      <protection locked="0"/>
    </xf>
    <xf numFmtId="164" fontId="56" fillId="4" borderId="23" xfId="0" applyNumberFormat="1" applyFont="1" applyFill="1" applyBorder="1" applyAlignment="1" applyProtection="1">
      <alignment horizontal="center" vertical="center"/>
      <protection locked="0"/>
    </xf>
    <xf numFmtId="164" fontId="56" fillId="4" borderId="9" xfId="0" applyNumberFormat="1" applyFont="1" applyFill="1" applyBorder="1" applyAlignment="1" applyProtection="1">
      <alignment horizontal="center" vertical="center"/>
      <protection locked="0"/>
    </xf>
    <xf numFmtId="0" fontId="52" fillId="2" borderId="24" xfId="0" applyFont="1" applyFill="1" applyBorder="1" applyAlignment="1">
      <alignment horizontal="center" vertical="center" wrapText="1"/>
    </xf>
    <xf numFmtId="0" fontId="52" fillId="2" borderId="1" xfId="0" applyFont="1" applyFill="1" applyBorder="1" applyAlignment="1">
      <alignment horizontal="center" vertical="center" wrapText="1"/>
    </xf>
    <xf numFmtId="0" fontId="52" fillId="2" borderId="25" xfId="0" applyFont="1" applyFill="1" applyBorder="1" applyAlignment="1">
      <alignment horizontal="center" vertical="center" wrapText="1"/>
    </xf>
    <xf numFmtId="0" fontId="9" fillId="2" borderId="27" xfId="0" applyFont="1" applyFill="1" applyBorder="1" applyAlignment="1">
      <alignment horizontal="center" vertical="center"/>
    </xf>
    <xf numFmtId="0" fontId="9" fillId="2" borderId="28" xfId="0" applyFont="1" applyFill="1" applyBorder="1" applyAlignment="1">
      <alignment horizontal="center" vertical="center"/>
    </xf>
    <xf numFmtId="0" fontId="9" fillId="2" borderId="29" xfId="0" applyFont="1" applyFill="1" applyBorder="1" applyAlignment="1">
      <alignment horizontal="center" vertical="center"/>
    </xf>
    <xf numFmtId="49" fontId="49" fillId="4" borderId="90" xfId="0" applyNumberFormat="1" applyFont="1" applyFill="1" applyBorder="1" applyAlignment="1">
      <alignment horizontal="left" vertical="center" wrapText="1"/>
    </xf>
    <xf numFmtId="49" fontId="49" fillId="4" borderId="2" xfId="0" applyNumberFormat="1" applyFont="1" applyFill="1" applyBorder="1" applyAlignment="1">
      <alignment horizontal="left" vertical="center" wrapText="1"/>
    </xf>
    <xf numFmtId="49" fontId="48" fillId="4" borderId="2" xfId="0" applyNumberFormat="1" applyFont="1" applyFill="1" applyBorder="1" applyAlignment="1" applyProtection="1">
      <alignment horizontal="center" vertical="center" wrapText="1"/>
      <protection locked="0"/>
    </xf>
    <xf numFmtId="49" fontId="48" fillId="4" borderId="84" xfId="0" applyNumberFormat="1" applyFont="1" applyFill="1" applyBorder="1" applyAlignment="1" applyProtection="1">
      <alignment horizontal="center" vertical="center" wrapText="1"/>
      <protection locked="0"/>
    </xf>
    <xf numFmtId="49" fontId="48" fillId="4" borderId="3" xfId="0" applyNumberFormat="1" applyFont="1" applyFill="1" applyBorder="1" applyAlignment="1" applyProtection="1">
      <alignment horizontal="center" vertical="center" wrapText="1"/>
      <protection locked="0"/>
    </xf>
    <xf numFmtId="49" fontId="48" fillId="4" borderId="85" xfId="0" applyNumberFormat="1" applyFont="1" applyFill="1" applyBorder="1" applyAlignment="1" applyProtection="1">
      <alignment horizontal="center" vertical="center" wrapText="1"/>
      <protection locked="0"/>
    </xf>
    <xf numFmtId="49" fontId="48" fillId="4" borderId="4" xfId="0" applyNumberFormat="1" applyFont="1" applyFill="1" applyBorder="1" applyAlignment="1" applyProtection="1">
      <alignment horizontal="center" vertical="center" wrapText="1"/>
      <protection locked="0"/>
    </xf>
    <xf numFmtId="49" fontId="48" fillId="4" borderId="86" xfId="0" applyNumberFormat="1" applyFont="1" applyFill="1" applyBorder="1" applyAlignment="1" applyProtection="1">
      <alignment horizontal="center" vertical="center" wrapText="1"/>
      <protection locked="0"/>
    </xf>
  </cellXfs>
  <cellStyles count="5">
    <cellStyle name="Normal" xfId="0" builtinId="0"/>
    <cellStyle name="Normal - Style1 2" xfId="3" xr:uid="{00000000-0005-0000-0000-000001000000}"/>
    <cellStyle name="Normal 2" xfId="2" xr:uid="{00000000-0005-0000-0000-000002000000}"/>
    <cellStyle name="Normal 2 2" xfId="4" xr:uid="{00000000-0005-0000-0000-000003000000}"/>
    <cellStyle name="Porcentaje" xfId="1" builtinId="5"/>
  </cellStyles>
  <dxfs count="20">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00B050"/>
        </patternFill>
      </fill>
    </dxf>
    <dxf>
      <fill>
        <patternFill>
          <bgColor rgb="FF00B050"/>
        </patternFill>
      </fill>
    </dxf>
    <dxf>
      <fill>
        <patternFill>
          <bgColor rgb="FFFFFF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1050132</xdr:colOff>
      <xdr:row>0</xdr:row>
      <xdr:rowOff>66818</xdr:rowOff>
    </xdr:from>
    <xdr:to>
      <xdr:col>7</xdr:col>
      <xdr:colOff>321470</xdr:colOff>
      <xdr:row>11</xdr:row>
      <xdr:rowOff>47624</xdr:rowOff>
    </xdr:to>
    <xdr:pic>
      <xdr:nvPicPr>
        <xdr:cNvPr id="2" name="Imagen 1">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a:stretch>
          <a:fillRect/>
        </a:stretch>
      </xdr:blipFill>
      <xdr:spPr>
        <a:xfrm>
          <a:off x="7169945" y="66818"/>
          <a:ext cx="3676650" cy="23382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281667</xdr:colOff>
      <xdr:row>7</xdr:row>
      <xdr:rowOff>102768</xdr:rowOff>
    </xdr:from>
    <xdr:to>
      <xdr:col>6</xdr:col>
      <xdr:colOff>595313</xdr:colOff>
      <xdr:row>14</xdr:row>
      <xdr:rowOff>55289</xdr:rowOff>
    </xdr:to>
    <xdr:pic>
      <xdr:nvPicPr>
        <xdr:cNvPr id="4" name="Imagen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4567917" y="2037534"/>
          <a:ext cx="3959935" cy="23486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ell\Desktop\cesar\HISTORICOS\2020-04-22_Formato_informe_sci_parametrizado_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Definiciones"/>
      <sheetName val="Ambiente de Control"/>
      <sheetName val="Evaluación de riesgos"/>
      <sheetName val="Actividades de control"/>
      <sheetName val="Info y Comunicación"/>
      <sheetName val="Actividades de Monitoreo"/>
      <sheetName val="Analisis de Resultados"/>
      <sheetName val="Conclusiones"/>
      <sheetName val="Hoja1"/>
      <sheetName val="Hoja4"/>
      <sheetName val="Hoja2"/>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4"/>
  <sheetViews>
    <sheetView zoomScale="90" zoomScaleNormal="90" workbookViewId="0">
      <selection activeCell="B6" sqref="B6:H7"/>
    </sheetView>
  </sheetViews>
  <sheetFormatPr baseColWidth="10" defaultColWidth="0" defaultRowHeight="12.75" zeroHeight="1" x14ac:dyDescent="0.2"/>
  <cols>
    <col min="1" max="1" width="3.85546875" style="42" customWidth="1"/>
    <col min="2" max="2" width="15.28515625" style="42" customWidth="1"/>
    <col min="3" max="3" width="17.28515625" style="42" customWidth="1"/>
    <col min="4" max="4" width="28.5703125" style="42" customWidth="1"/>
    <col min="5" max="5" width="12.85546875" style="42" customWidth="1"/>
    <col min="6" max="6" width="47.140625" style="42" customWidth="1"/>
    <col min="7" max="7" width="21.42578125" style="42" customWidth="1"/>
    <col min="8" max="8" width="6.5703125" style="42" customWidth="1"/>
    <col min="9" max="9" width="2.5703125" style="42" customWidth="1"/>
    <col min="10" max="16384" width="11.42578125" style="42" hidden="1"/>
  </cols>
  <sheetData>
    <row r="1" spans="2:8" ht="13.5" thickBot="1" x14ac:dyDescent="0.25"/>
    <row r="2" spans="2:8" ht="73.5" customHeight="1" x14ac:dyDescent="0.2">
      <c r="B2" s="185" t="s">
        <v>0</v>
      </c>
      <c r="C2" s="186"/>
      <c r="D2" s="186"/>
      <c r="E2" s="186"/>
      <c r="F2" s="186"/>
      <c r="G2" s="186"/>
      <c r="H2" s="187"/>
    </row>
    <row r="3" spans="2:8" ht="65.25" customHeight="1" x14ac:dyDescent="0.2">
      <c r="B3" s="188" t="s">
        <v>1</v>
      </c>
      <c r="C3" s="189"/>
      <c r="D3" s="189"/>
      <c r="E3" s="189"/>
      <c r="F3" s="189"/>
      <c r="G3" s="189"/>
      <c r="H3" s="190"/>
    </row>
    <row r="4" spans="2:8" ht="82.5" customHeight="1" x14ac:dyDescent="0.2">
      <c r="B4" s="188"/>
      <c r="C4" s="189"/>
      <c r="D4" s="189"/>
      <c r="E4" s="189"/>
      <c r="F4" s="189"/>
      <c r="G4" s="189"/>
      <c r="H4" s="190"/>
    </row>
    <row r="5" spans="2:8" ht="21.75" customHeight="1" x14ac:dyDescent="0.2">
      <c r="B5" s="191" t="s">
        <v>2</v>
      </c>
      <c r="C5" s="192"/>
      <c r="D5" s="192"/>
      <c r="E5" s="192"/>
      <c r="F5" s="192"/>
      <c r="G5" s="192"/>
      <c r="H5" s="193"/>
    </row>
    <row r="6" spans="2:8" ht="42" customHeight="1" x14ac:dyDescent="0.2">
      <c r="B6" s="194" t="s">
        <v>3</v>
      </c>
      <c r="C6" s="195"/>
      <c r="D6" s="195"/>
      <c r="E6" s="195"/>
      <c r="F6" s="195"/>
      <c r="G6" s="195"/>
      <c r="H6" s="196"/>
    </row>
    <row r="7" spans="2:8" ht="14.25" customHeight="1" x14ac:dyDescent="0.2">
      <c r="B7" s="194"/>
      <c r="C7" s="195"/>
      <c r="D7" s="195"/>
      <c r="E7" s="195"/>
      <c r="F7" s="195"/>
      <c r="G7" s="195"/>
      <c r="H7" s="196"/>
    </row>
    <row r="8" spans="2:8" ht="12.75" customHeight="1" thickBot="1" x14ac:dyDescent="0.25">
      <c r="B8" s="54"/>
      <c r="C8" s="48"/>
      <c r="D8" s="63"/>
      <c r="E8" s="64"/>
      <c r="F8" s="64"/>
      <c r="G8" s="62"/>
      <c r="H8" s="56"/>
    </row>
    <row r="9" spans="2:8" ht="21" customHeight="1" thickTop="1" x14ac:dyDescent="0.2">
      <c r="B9" s="54"/>
      <c r="C9" s="197" t="s">
        <v>4</v>
      </c>
      <c r="D9" s="198"/>
      <c r="E9" s="199" t="s">
        <v>5</v>
      </c>
      <c r="F9" s="200"/>
      <c r="G9" s="48"/>
      <c r="H9" s="56"/>
    </row>
    <row r="10" spans="2:8" ht="37.5" customHeight="1" x14ac:dyDescent="0.2">
      <c r="B10" s="54"/>
      <c r="C10" s="177" t="s">
        <v>6</v>
      </c>
      <c r="D10" s="178"/>
      <c r="E10" s="179" t="s">
        <v>7</v>
      </c>
      <c r="F10" s="180"/>
      <c r="G10" s="48"/>
      <c r="H10" s="56"/>
    </row>
    <row r="11" spans="2:8" ht="39.75" customHeight="1" x14ac:dyDescent="0.2">
      <c r="B11" s="54"/>
      <c r="C11" s="181" t="s">
        <v>8</v>
      </c>
      <c r="D11" s="182"/>
      <c r="E11" s="158" t="s">
        <v>9</v>
      </c>
      <c r="F11" s="159"/>
      <c r="G11" s="48"/>
      <c r="H11" s="56"/>
    </row>
    <row r="12" spans="2:8" ht="59.25" customHeight="1" x14ac:dyDescent="0.2">
      <c r="B12" s="54"/>
      <c r="C12" s="181" t="s">
        <v>10</v>
      </c>
      <c r="D12" s="182"/>
      <c r="E12" s="183" t="s">
        <v>11</v>
      </c>
      <c r="F12" s="184"/>
      <c r="G12" s="48"/>
      <c r="H12" s="56"/>
    </row>
    <row r="13" spans="2:8" ht="33.75" customHeight="1" x14ac:dyDescent="0.2">
      <c r="B13" s="54"/>
      <c r="C13" s="156" t="s">
        <v>12</v>
      </c>
      <c r="D13" s="157"/>
      <c r="E13" s="158" t="s">
        <v>13</v>
      </c>
      <c r="F13" s="159"/>
      <c r="G13" s="48"/>
      <c r="H13" s="56"/>
    </row>
    <row r="14" spans="2:8" ht="19.5" customHeight="1" x14ac:dyDescent="0.2">
      <c r="B14" s="54"/>
      <c r="C14" s="60"/>
      <c r="D14" s="60"/>
      <c r="E14" s="61"/>
      <c r="F14" s="61"/>
      <c r="G14" s="48"/>
      <c r="H14" s="56"/>
    </row>
    <row r="15" spans="2:8" ht="37.5" customHeight="1" thickBot="1" x14ac:dyDescent="0.25">
      <c r="B15" s="152" t="s">
        <v>14</v>
      </c>
      <c r="C15" s="153"/>
      <c r="D15" s="153"/>
      <c r="E15" s="153"/>
      <c r="F15" s="153"/>
      <c r="G15" s="153"/>
      <c r="H15" s="154"/>
    </row>
    <row r="16" spans="2:8" ht="27.75" customHeight="1" thickBot="1" x14ac:dyDescent="0.25">
      <c r="B16" s="54"/>
      <c r="C16" s="160" t="s">
        <v>15</v>
      </c>
      <c r="D16" s="161"/>
      <c r="E16" s="161" t="s">
        <v>16</v>
      </c>
      <c r="F16" s="172"/>
      <c r="G16" s="48"/>
      <c r="H16" s="56"/>
    </row>
    <row r="17" spans="2:8" ht="27.75" customHeight="1" x14ac:dyDescent="0.2">
      <c r="B17" s="54"/>
      <c r="C17" s="173" t="s">
        <v>17</v>
      </c>
      <c r="D17" s="174"/>
      <c r="E17" s="175" t="s">
        <v>18</v>
      </c>
      <c r="F17" s="176"/>
      <c r="G17" s="93"/>
      <c r="H17" s="56"/>
    </row>
    <row r="18" spans="2:8" ht="41.25" customHeight="1" x14ac:dyDescent="0.2">
      <c r="B18" s="54"/>
      <c r="C18" s="162" t="s">
        <v>19</v>
      </c>
      <c r="D18" s="163"/>
      <c r="E18" s="164" t="s">
        <v>20</v>
      </c>
      <c r="F18" s="165"/>
      <c r="G18" s="94"/>
      <c r="H18" s="56"/>
    </row>
    <row r="19" spans="2:8" ht="37.5" customHeight="1" thickBot="1" x14ac:dyDescent="0.25">
      <c r="B19" s="54"/>
      <c r="C19" s="166" t="s">
        <v>21</v>
      </c>
      <c r="D19" s="167"/>
      <c r="E19" s="168" t="s">
        <v>22</v>
      </c>
      <c r="F19" s="169"/>
      <c r="G19" s="94"/>
      <c r="H19" s="56"/>
    </row>
    <row r="20" spans="2:8" ht="11.25" customHeight="1" x14ac:dyDescent="0.2">
      <c r="B20" s="49"/>
      <c r="C20" s="50"/>
      <c r="D20" s="50"/>
      <c r="E20" s="50"/>
      <c r="F20" s="50"/>
      <c r="G20" s="50"/>
      <c r="H20" s="51"/>
    </row>
    <row r="21" spans="2:8" ht="14.25" customHeight="1" x14ac:dyDescent="0.2">
      <c r="B21" s="52"/>
      <c r="C21" s="170"/>
      <c r="D21" s="170"/>
      <c r="E21" s="171"/>
      <c r="F21" s="171"/>
      <c r="G21" s="171"/>
      <c r="H21" s="53"/>
    </row>
    <row r="22" spans="2:8" ht="36" customHeight="1" x14ac:dyDescent="0.2">
      <c r="B22" s="152" t="s">
        <v>23</v>
      </c>
      <c r="C22" s="153"/>
      <c r="D22" s="153"/>
      <c r="E22" s="153"/>
      <c r="F22" s="153"/>
      <c r="G22" s="153"/>
      <c r="H22" s="154"/>
    </row>
    <row r="23" spans="2:8" ht="13.5" x14ac:dyDescent="0.2">
      <c r="B23" s="54"/>
      <c r="C23" s="55"/>
      <c r="D23" s="55"/>
      <c r="E23" s="155"/>
      <c r="F23" s="155"/>
      <c r="G23" s="48"/>
      <c r="H23" s="56"/>
    </row>
    <row r="24" spans="2:8" ht="13.5" thickBot="1" x14ac:dyDescent="0.25">
      <c r="B24" s="57"/>
      <c r="C24" s="58"/>
      <c r="D24" s="58"/>
      <c r="E24" s="58"/>
      <c r="F24" s="58"/>
      <c r="G24" s="58"/>
      <c r="H24" s="59"/>
    </row>
    <row r="25" spans="2:8" x14ac:dyDescent="0.2"/>
    <row r="26" spans="2:8" ht="29.25" customHeight="1" x14ac:dyDescent="0.2"/>
    <row r="27" spans="2:8" ht="26.25" customHeight="1" x14ac:dyDescent="0.2"/>
    <row r="28" spans="2:8" ht="43.5" customHeight="1" x14ac:dyDescent="0.2"/>
    <row r="29" spans="2:8" ht="53.25" customHeight="1" x14ac:dyDescent="0.2"/>
    <row r="30" spans="2:8" x14ac:dyDescent="0.2"/>
    <row r="31" spans="2:8" x14ac:dyDescent="0.2"/>
    <row r="32" spans="2:8" x14ac:dyDescent="0.2"/>
    <row r="33" x14ac:dyDescent="0.2"/>
    <row r="34" x14ac:dyDescent="0.2"/>
    <row r="35"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x14ac:dyDescent="0.2"/>
    <row r="52" x14ac:dyDescent="0.2"/>
    <row r="54" x14ac:dyDescent="0.2"/>
  </sheetData>
  <sheetProtection algorithmName="SHA-512" hashValue="t7sIeOvFa2bhukBsHVcHmO5gG9cifT20ZR8W/o5PL1FLs7w8K+KkEm6wLVbMVfYFM8W9luBRuNKu+qdhAWPM7w==" saltValue="H/shNuEdnFDauevCofk8Sw==" spinCount="100000" sheet="1" objects="1" scenarios="1"/>
  <mergeCells count="27">
    <mergeCell ref="B2:H2"/>
    <mergeCell ref="B3:H4"/>
    <mergeCell ref="B5:H5"/>
    <mergeCell ref="B6:H7"/>
    <mergeCell ref="C9:D9"/>
    <mergeCell ref="E9:F9"/>
    <mergeCell ref="C10:D10"/>
    <mergeCell ref="E10:F10"/>
    <mergeCell ref="C11:D11"/>
    <mergeCell ref="E11:F11"/>
    <mergeCell ref="C12:D12"/>
    <mergeCell ref="E12:F12"/>
    <mergeCell ref="B22:H22"/>
    <mergeCell ref="E23:F23"/>
    <mergeCell ref="C13:D13"/>
    <mergeCell ref="E13:F13"/>
    <mergeCell ref="C16:D16"/>
    <mergeCell ref="C18:D18"/>
    <mergeCell ref="E18:F18"/>
    <mergeCell ref="C19:D19"/>
    <mergeCell ref="E19:F19"/>
    <mergeCell ref="C21:D21"/>
    <mergeCell ref="E21:G21"/>
    <mergeCell ref="B15:H15"/>
    <mergeCell ref="E16:F16"/>
    <mergeCell ref="C17:D17"/>
    <mergeCell ref="E17:F1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59"/>
  <sheetViews>
    <sheetView showGridLines="0" topLeftCell="B41" zoomScale="80" zoomScaleNormal="80" workbookViewId="0">
      <selection activeCell="H45" sqref="H45"/>
    </sheetView>
  </sheetViews>
  <sheetFormatPr baseColWidth="10" defaultColWidth="11.42578125" defaultRowHeight="16.5" x14ac:dyDescent="0.3"/>
  <cols>
    <col min="1" max="1" width="3" style="44" hidden="1" customWidth="1"/>
    <col min="2" max="2" width="9.42578125" style="44" customWidth="1"/>
    <col min="3" max="3" width="27.140625" style="44" customWidth="1"/>
    <col min="4" max="4" width="46.5703125" style="44" customWidth="1"/>
    <col min="5" max="5" width="10.140625" style="66" customWidth="1"/>
    <col min="6" max="6" width="44.5703125" style="66" customWidth="1"/>
    <col min="7" max="7" width="21.42578125" style="44" customWidth="1"/>
    <col min="8" max="8" width="60.7109375" style="44" customWidth="1"/>
    <col min="9" max="9" width="43" style="44" customWidth="1"/>
    <col min="10" max="12" width="11.42578125" style="69" customWidth="1"/>
    <col min="13" max="24" width="11.42578125" style="44" customWidth="1"/>
    <col min="25" max="16384" width="11.42578125" style="44"/>
  </cols>
  <sheetData>
    <row r="1" spans="1:32" x14ac:dyDescent="0.3">
      <c r="B1" s="43"/>
      <c r="C1" s="43"/>
      <c r="D1" s="43"/>
      <c r="E1" s="65"/>
      <c r="F1" s="65"/>
      <c r="G1" s="43"/>
      <c r="H1" s="43"/>
      <c r="I1" s="43"/>
      <c r="J1" s="67"/>
      <c r="K1" s="67"/>
      <c r="L1" s="67"/>
      <c r="M1" s="43"/>
      <c r="N1" s="43"/>
      <c r="O1" s="43"/>
      <c r="P1" s="43"/>
      <c r="Q1" s="43"/>
      <c r="R1" s="43"/>
      <c r="S1" s="43"/>
      <c r="T1" s="43"/>
      <c r="U1" s="43"/>
      <c r="V1" s="43"/>
      <c r="W1" s="43"/>
      <c r="X1" s="43"/>
    </row>
    <row r="2" spans="1:32" x14ac:dyDescent="0.3">
      <c r="B2" s="43"/>
      <c r="C2" s="43"/>
      <c r="D2" s="43"/>
      <c r="E2" s="65"/>
      <c r="F2" s="65"/>
      <c r="G2" s="43"/>
      <c r="H2" s="43"/>
      <c r="I2" s="43"/>
      <c r="J2" s="67"/>
      <c r="K2" s="67"/>
      <c r="L2" s="67"/>
      <c r="M2" s="43"/>
      <c r="N2" s="43"/>
      <c r="O2" s="43"/>
      <c r="P2" s="43"/>
      <c r="Q2" s="43"/>
      <c r="R2" s="43"/>
      <c r="S2" s="43"/>
      <c r="T2" s="43"/>
      <c r="U2" s="43"/>
      <c r="V2" s="43"/>
      <c r="W2" s="43"/>
      <c r="X2" s="43"/>
    </row>
    <row r="3" spans="1:32" x14ac:dyDescent="0.3">
      <c r="B3" s="43"/>
      <c r="C3" s="43"/>
      <c r="D3" s="43"/>
      <c r="E3" s="65"/>
      <c r="F3" s="65"/>
      <c r="G3" s="43"/>
      <c r="H3" s="43"/>
      <c r="I3" s="43"/>
      <c r="J3" s="67"/>
      <c r="K3" s="67"/>
      <c r="L3" s="67"/>
      <c r="M3" s="43"/>
      <c r="N3" s="43"/>
      <c r="O3" s="43"/>
      <c r="P3" s="43"/>
      <c r="Q3" s="43"/>
      <c r="R3" s="43"/>
      <c r="S3" s="43"/>
      <c r="T3" s="43"/>
      <c r="U3" s="43"/>
      <c r="V3" s="43"/>
      <c r="W3" s="43"/>
      <c r="X3" s="43"/>
    </row>
    <row r="4" spans="1:32" x14ac:dyDescent="0.3">
      <c r="B4" s="43"/>
      <c r="C4" s="43"/>
      <c r="D4" s="43"/>
      <c r="E4" s="65"/>
      <c r="F4" s="65"/>
      <c r="G4" s="43"/>
      <c r="H4" s="43"/>
      <c r="I4" s="43"/>
      <c r="J4" s="67"/>
      <c r="K4" s="67"/>
      <c r="L4" s="67"/>
      <c r="M4" s="43"/>
      <c r="N4" s="43"/>
      <c r="O4" s="43"/>
      <c r="P4" s="43"/>
      <c r="Q4" s="43"/>
      <c r="R4" s="43"/>
      <c r="S4" s="43"/>
      <c r="T4" s="43"/>
      <c r="U4" s="43"/>
      <c r="V4" s="43"/>
      <c r="W4" s="43"/>
      <c r="X4" s="43"/>
    </row>
    <row r="5" spans="1:32" x14ac:dyDescent="0.3">
      <c r="B5" s="43"/>
      <c r="C5" s="43"/>
      <c r="D5" s="43"/>
      <c r="E5" s="65"/>
      <c r="F5" s="65"/>
      <c r="G5" s="43"/>
      <c r="H5" s="43"/>
      <c r="I5" s="43"/>
      <c r="J5" s="67"/>
      <c r="K5" s="67"/>
      <c r="L5" s="67"/>
      <c r="M5" s="43"/>
      <c r="N5" s="43"/>
      <c r="O5" s="43"/>
      <c r="P5" s="43"/>
      <c r="Q5" s="43"/>
      <c r="R5" s="43"/>
      <c r="S5" s="43"/>
      <c r="T5" s="43"/>
      <c r="U5" s="43"/>
      <c r="V5" s="43"/>
      <c r="W5" s="43"/>
      <c r="X5" s="43"/>
    </row>
    <row r="6" spans="1:32" x14ac:dyDescent="0.3">
      <c r="B6" s="43"/>
      <c r="C6" s="43"/>
      <c r="D6" s="43"/>
      <c r="E6" s="65"/>
      <c r="F6" s="65"/>
      <c r="G6" s="43"/>
      <c r="H6" s="43"/>
      <c r="I6" s="43"/>
      <c r="J6" s="67"/>
      <c r="K6" s="67"/>
      <c r="L6" s="67"/>
      <c r="M6" s="43"/>
      <c r="N6" s="43"/>
      <c r="O6" s="43"/>
      <c r="P6" s="43"/>
      <c r="Q6" s="43"/>
      <c r="R6" s="43"/>
      <c r="S6" s="43"/>
      <c r="T6" s="43"/>
      <c r="U6" s="43"/>
      <c r="V6" s="43"/>
      <c r="W6" s="43"/>
      <c r="X6" s="43"/>
    </row>
    <row r="7" spans="1:32" x14ac:dyDescent="0.3">
      <c r="B7" s="43"/>
      <c r="C7" s="43"/>
      <c r="D7" s="43"/>
      <c r="E7" s="65"/>
      <c r="F7" s="65"/>
      <c r="G7" s="43"/>
      <c r="H7" s="43"/>
      <c r="I7" s="43"/>
      <c r="J7" s="67"/>
      <c r="K7" s="67"/>
      <c r="L7" s="67"/>
      <c r="M7" s="43"/>
      <c r="N7" s="43"/>
      <c r="O7" s="43"/>
      <c r="P7" s="43"/>
      <c r="Q7" s="43"/>
      <c r="R7" s="43"/>
      <c r="S7" s="43"/>
      <c r="T7" s="43"/>
      <c r="U7" s="43"/>
      <c r="V7" s="43"/>
      <c r="W7" s="43"/>
      <c r="X7" s="43"/>
    </row>
    <row r="8" spans="1:32" x14ac:dyDescent="0.3">
      <c r="B8" s="43"/>
      <c r="C8" s="43"/>
      <c r="D8" s="43"/>
      <c r="E8" s="65"/>
      <c r="F8" s="65"/>
      <c r="G8" s="43"/>
      <c r="H8" s="43"/>
      <c r="I8" s="43"/>
      <c r="J8" s="67"/>
      <c r="K8" s="67"/>
      <c r="L8" s="67"/>
      <c r="M8" s="43"/>
      <c r="N8" s="43"/>
      <c r="O8" s="43"/>
      <c r="P8" s="43"/>
      <c r="Q8" s="43"/>
      <c r="R8" s="43"/>
      <c r="S8" s="43"/>
      <c r="T8" s="43"/>
      <c r="U8" s="43"/>
      <c r="V8" s="43"/>
      <c r="W8" s="43"/>
      <c r="X8" s="43"/>
    </row>
    <row r="9" spans="1:32" x14ac:dyDescent="0.3">
      <c r="B9" s="43"/>
      <c r="C9" s="43"/>
      <c r="D9" s="43"/>
      <c r="E9" s="65"/>
      <c r="F9" s="65"/>
      <c r="G9" s="43"/>
      <c r="H9" s="43"/>
      <c r="I9" s="43"/>
      <c r="J9" s="67"/>
      <c r="K9" s="67"/>
      <c r="L9" s="67"/>
      <c r="M9" s="43"/>
      <c r="N9" s="43"/>
      <c r="O9" s="43"/>
      <c r="P9" s="43"/>
      <c r="Q9" s="43"/>
      <c r="R9" s="43"/>
      <c r="S9" s="43"/>
      <c r="T9" s="43"/>
      <c r="U9" s="43"/>
      <c r="V9" s="43"/>
      <c r="W9" s="43"/>
      <c r="X9" s="43"/>
    </row>
    <row r="10" spans="1:32" x14ac:dyDescent="0.3">
      <c r="B10" s="43"/>
      <c r="C10" s="43"/>
      <c r="D10" s="43"/>
      <c r="E10" s="65"/>
      <c r="F10" s="65"/>
      <c r="G10" s="43"/>
      <c r="H10" s="43"/>
      <c r="I10" s="43"/>
      <c r="J10" s="67"/>
      <c r="K10" s="67"/>
      <c r="L10" s="67"/>
      <c r="M10" s="43"/>
      <c r="N10" s="43"/>
      <c r="O10" s="43"/>
      <c r="P10" s="43"/>
      <c r="Q10" s="43"/>
      <c r="R10" s="43"/>
      <c r="S10" s="43"/>
      <c r="T10" s="43"/>
      <c r="U10" s="43"/>
      <c r="V10" s="43"/>
      <c r="W10" s="43"/>
      <c r="X10" s="43"/>
    </row>
    <row r="11" spans="1:32" x14ac:dyDescent="0.3">
      <c r="B11" s="43"/>
      <c r="C11" s="43"/>
      <c r="D11" s="43"/>
      <c r="E11" s="65"/>
      <c r="F11" s="65"/>
      <c r="G11" s="43"/>
      <c r="H11" s="43"/>
      <c r="I11" s="43"/>
      <c r="J11" s="67"/>
      <c r="K11" s="67"/>
      <c r="L11" s="67"/>
      <c r="M11" s="43"/>
      <c r="N11" s="43"/>
      <c r="O11" s="43"/>
      <c r="P11" s="43"/>
      <c r="Q11" s="43"/>
      <c r="R11" s="43"/>
      <c r="S11" s="43"/>
      <c r="T11" s="43"/>
      <c r="U11" s="43"/>
      <c r="V11" s="43"/>
      <c r="W11" s="43"/>
      <c r="X11" s="43"/>
    </row>
    <row r="12" spans="1:32" x14ac:dyDescent="0.3">
      <c r="B12" s="43"/>
      <c r="C12" s="43"/>
      <c r="D12" s="43"/>
      <c r="E12" s="65"/>
      <c r="F12" s="65"/>
      <c r="G12" s="43"/>
      <c r="H12" s="43"/>
      <c r="I12" s="43"/>
      <c r="J12" s="67"/>
      <c r="K12" s="67"/>
      <c r="L12" s="67"/>
      <c r="M12" s="43"/>
      <c r="N12" s="43"/>
      <c r="O12" s="43"/>
      <c r="P12" s="43"/>
      <c r="Q12" s="43"/>
      <c r="R12" s="43"/>
      <c r="S12" s="43"/>
      <c r="T12" s="43"/>
      <c r="U12" s="43"/>
      <c r="V12" s="43"/>
      <c r="W12" s="43"/>
      <c r="X12" s="43"/>
    </row>
    <row r="13" spans="1:32" x14ac:dyDescent="0.3">
      <c r="B13" s="43"/>
      <c r="C13" s="43"/>
      <c r="D13" s="43"/>
      <c r="E13" s="65"/>
      <c r="F13" s="65"/>
      <c r="G13" s="43"/>
      <c r="H13" s="43"/>
      <c r="I13" s="43"/>
      <c r="J13" s="67"/>
      <c r="K13" s="67"/>
      <c r="L13" s="67"/>
      <c r="M13" s="43"/>
      <c r="N13" s="43"/>
      <c r="O13" s="43"/>
      <c r="P13" s="43"/>
      <c r="Q13" s="43"/>
      <c r="R13" s="43"/>
      <c r="S13" s="43"/>
      <c r="T13" s="43"/>
      <c r="U13" s="43"/>
      <c r="V13" s="43"/>
      <c r="W13" s="43"/>
      <c r="X13" s="43"/>
    </row>
    <row r="14" spans="1:32" s="46" customFormat="1" ht="49.5" customHeight="1" x14ac:dyDescent="0.25">
      <c r="B14" s="201" t="s">
        <v>24</v>
      </c>
      <c r="C14" s="201"/>
      <c r="D14" s="201"/>
      <c r="E14" s="201"/>
      <c r="F14" s="201"/>
      <c r="G14" s="201"/>
      <c r="H14" s="201"/>
      <c r="I14" s="201"/>
      <c r="J14" s="68"/>
      <c r="K14" s="68"/>
      <c r="L14" s="68"/>
      <c r="M14" s="45"/>
      <c r="N14" s="45"/>
      <c r="O14" s="45"/>
      <c r="P14" s="45"/>
      <c r="Q14" s="45"/>
      <c r="R14" s="45"/>
      <c r="S14" s="45"/>
      <c r="T14" s="45"/>
      <c r="U14" s="45"/>
      <c r="V14" s="45"/>
      <c r="W14" s="45"/>
      <c r="X14" s="45"/>
      <c r="Y14" s="45"/>
      <c r="Z14" s="45"/>
      <c r="AA14" s="45"/>
      <c r="AB14" s="45"/>
      <c r="AC14" s="45"/>
      <c r="AD14" s="45"/>
      <c r="AE14" s="45"/>
      <c r="AF14" s="45"/>
    </row>
    <row r="15" spans="1:32" s="46" customFormat="1" ht="123.75" customHeight="1" thickBot="1" x14ac:dyDescent="0.3">
      <c r="B15" s="71" t="s">
        <v>25</v>
      </c>
      <c r="C15" s="71" t="s">
        <v>6</v>
      </c>
      <c r="D15" s="72" t="s">
        <v>8</v>
      </c>
      <c r="E15" s="73" t="s">
        <v>26</v>
      </c>
      <c r="F15" s="73" t="s">
        <v>27</v>
      </c>
      <c r="G15" s="73" t="s">
        <v>28</v>
      </c>
      <c r="H15" s="74" t="s">
        <v>29</v>
      </c>
      <c r="I15" s="73" t="s">
        <v>30</v>
      </c>
      <c r="J15" s="68"/>
      <c r="K15" s="68"/>
      <c r="L15" s="68"/>
      <c r="M15" s="45"/>
      <c r="N15" s="45"/>
      <c r="O15" s="45"/>
      <c r="P15" s="45"/>
      <c r="Q15" s="45"/>
      <c r="R15" s="45"/>
      <c r="S15" s="45"/>
      <c r="T15" s="45"/>
      <c r="U15" s="45"/>
      <c r="V15" s="45"/>
      <c r="W15" s="45"/>
      <c r="X15" s="45"/>
      <c r="Y15" s="45"/>
      <c r="Z15" s="45"/>
      <c r="AA15" s="45"/>
      <c r="AB15" s="45"/>
      <c r="AC15" s="45"/>
      <c r="AD15" s="45"/>
      <c r="AE15" s="45"/>
      <c r="AF15" s="45"/>
    </row>
    <row r="16" spans="1:32" s="46" customFormat="1" ht="135" customHeight="1" x14ac:dyDescent="0.25">
      <c r="A16" s="95" t="str">
        <f>1&amp;E16</f>
        <v>1a</v>
      </c>
      <c r="B16" s="217" t="s">
        <v>31</v>
      </c>
      <c r="C16" s="227" t="s">
        <v>32</v>
      </c>
      <c r="D16" s="214" t="s">
        <v>33</v>
      </c>
      <c r="E16" s="75" t="s">
        <v>34</v>
      </c>
      <c r="F16" s="76" t="s">
        <v>35</v>
      </c>
      <c r="G16" s="103" t="s">
        <v>38</v>
      </c>
      <c r="H16" s="104" t="s">
        <v>208</v>
      </c>
      <c r="I16" s="96" t="str">
        <f>+IF(G16="Si","Mantenimiento del control",IF(G16="En proceso","Oportunidad de mejora","Deficiencia de control"))</f>
        <v>Mantenimiento del control</v>
      </c>
      <c r="J16" s="97">
        <f t="shared" ref="J16:J27" si="0">+IF(G16="Si",20,IF(G16="En proceso",10,0))</f>
        <v>20</v>
      </c>
      <c r="K16" s="97">
        <v>0.123</v>
      </c>
      <c r="L16" s="97">
        <f>+J16+K16</f>
        <v>20.123000000000001</v>
      </c>
    </row>
    <row r="17" spans="1:32" s="46" customFormat="1" ht="192" customHeight="1" x14ac:dyDescent="0.25">
      <c r="A17" s="95" t="str">
        <f t="shared" ref="A17:A27" si="1">1&amp;E17</f>
        <v>1b</v>
      </c>
      <c r="B17" s="218"/>
      <c r="C17" s="228"/>
      <c r="D17" s="215"/>
      <c r="E17" s="77" t="s">
        <v>36</v>
      </c>
      <c r="F17" s="78" t="s">
        <v>37</v>
      </c>
      <c r="G17" s="105" t="s">
        <v>38</v>
      </c>
      <c r="H17" s="106" t="s">
        <v>216</v>
      </c>
      <c r="I17" s="98" t="str">
        <f t="shared" ref="I17:I59" si="2">+IF(G17="Si","Mantenimiento del control",IF(G17="En proceso","Oportunidad de mejora","Deficiencia de control"))</f>
        <v>Mantenimiento del control</v>
      </c>
      <c r="J17" s="99">
        <f t="shared" si="0"/>
        <v>20</v>
      </c>
      <c r="K17" s="97">
        <v>0.1234</v>
      </c>
      <c r="L17" s="97">
        <f t="shared" ref="L17:L59" si="3">+J17+K17</f>
        <v>20.1234</v>
      </c>
    </row>
    <row r="18" spans="1:32" s="46" customFormat="1" ht="123" customHeight="1" x14ac:dyDescent="0.25">
      <c r="A18" s="95" t="str">
        <f t="shared" si="1"/>
        <v>1c</v>
      </c>
      <c r="B18" s="218"/>
      <c r="C18" s="228"/>
      <c r="D18" s="215"/>
      <c r="E18" s="77" t="s">
        <v>39</v>
      </c>
      <c r="F18" s="79" t="s">
        <v>40</v>
      </c>
      <c r="G18" s="105" t="s">
        <v>38</v>
      </c>
      <c r="H18" s="107" t="s">
        <v>217</v>
      </c>
      <c r="I18" s="100" t="str">
        <f t="shared" si="2"/>
        <v>Mantenimiento del control</v>
      </c>
      <c r="J18" s="99">
        <f t="shared" si="0"/>
        <v>20</v>
      </c>
      <c r="K18" s="97">
        <v>0.12345</v>
      </c>
      <c r="L18" s="97">
        <f t="shared" si="3"/>
        <v>20.123449999999998</v>
      </c>
    </row>
    <row r="19" spans="1:32" s="46" customFormat="1" ht="93" customHeight="1" x14ac:dyDescent="0.25">
      <c r="A19" s="95" t="str">
        <f t="shared" si="1"/>
        <v>1d</v>
      </c>
      <c r="B19" s="218"/>
      <c r="C19" s="228"/>
      <c r="D19" s="215"/>
      <c r="E19" s="77" t="s">
        <v>41</v>
      </c>
      <c r="F19" s="79" t="s">
        <v>42</v>
      </c>
      <c r="G19" s="105" t="s">
        <v>75</v>
      </c>
      <c r="H19" s="107" t="s">
        <v>209</v>
      </c>
      <c r="I19" s="100" t="str">
        <f t="shared" si="2"/>
        <v>Oportunidad de mejora</v>
      </c>
      <c r="J19" s="99">
        <f t="shared" si="0"/>
        <v>10</v>
      </c>
      <c r="K19" s="97">
        <v>0.123456</v>
      </c>
      <c r="L19" s="97">
        <f t="shared" si="3"/>
        <v>10.123455999999999</v>
      </c>
    </row>
    <row r="20" spans="1:32" s="46" customFormat="1" ht="104.25" customHeight="1" x14ac:dyDescent="0.25">
      <c r="A20" s="95" t="str">
        <f t="shared" si="1"/>
        <v>1e</v>
      </c>
      <c r="B20" s="218"/>
      <c r="C20" s="228"/>
      <c r="D20" s="215"/>
      <c r="E20" s="77" t="s">
        <v>43</v>
      </c>
      <c r="F20" s="79" t="s">
        <v>44</v>
      </c>
      <c r="G20" s="105" t="s">
        <v>38</v>
      </c>
      <c r="H20" s="107" t="s">
        <v>204</v>
      </c>
      <c r="I20" s="100" t="str">
        <f t="shared" si="2"/>
        <v>Mantenimiento del control</v>
      </c>
      <c r="J20" s="99">
        <f t="shared" si="0"/>
        <v>20</v>
      </c>
      <c r="K20" s="97">
        <v>0.12345678</v>
      </c>
      <c r="L20" s="97">
        <f t="shared" si="3"/>
        <v>20.123456780000001</v>
      </c>
    </row>
    <row r="21" spans="1:32" s="46" customFormat="1" ht="173.25" customHeight="1" x14ac:dyDescent="0.25">
      <c r="A21" s="95" t="str">
        <f t="shared" si="1"/>
        <v>1f</v>
      </c>
      <c r="B21" s="218"/>
      <c r="C21" s="228"/>
      <c r="D21" s="215"/>
      <c r="E21" s="77" t="s">
        <v>45</v>
      </c>
      <c r="F21" s="79" t="s">
        <v>46</v>
      </c>
      <c r="G21" s="105" t="s">
        <v>38</v>
      </c>
      <c r="H21" s="107" t="s">
        <v>218</v>
      </c>
      <c r="I21" s="100" t="str">
        <f t="shared" si="2"/>
        <v>Mantenimiento del control</v>
      </c>
      <c r="J21" s="99">
        <f t="shared" si="0"/>
        <v>20</v>
      </c>
      <c r="K21" s="97">
        <v>0.123456789</v>
      </c>
      <c r="L21" s="97">
        <f t="shared" si="3"/>
        <v>20.123456788999999</v>
      </c>
    </row>
    <row r="22" spans="1:32" s="46" customFormat="1" ht="66" x14ac:dyDescent="0.25">
      <c r="A22" s="95" t="str">
        <f t="shared" si="1"/>
        <v>1g</v>
      </c>
      <c r="B22" s="218"/>
      <c r="C22" s="228"/>
      <c r="D22" s="215"/>
      <c r="E22" s="77" t="s">
        <v>47</v>
      </c>
      <c r="F22" s="79" t="s">
        <v>48</v>
      </c>
      <c r="G22" s="105" t="s">
        <v>38</v>
      </c>
      <c r="H22" s="107" t="s">
        <v>191</v>
      </c>
      <c r="I22" s="100" t="str">
        <f t="shared" si="2"/>
        <v>Mantenimiento del control</v>
      </c>
      <c r="J22" s="99">
        <f t="shared" si="0"/>
        <v>20</v>
      </c>
      <c r="K22" s="97">
        <v>0.12345678910000001</v>
      </c>
      <c r="L22" s="97">
        <f t="shared" si="3"/>
        <v>20.1234567891</v>
      </c>
    </row>
    <row r="23" spans="1:32" s="46" customFormat="1" ht="63" x14ac:dyDescent="0.25">
      <c r="A23" s="95" t="str">
        <f t="shared" si="1"/>
        <v>1h</v>
      </c>
      <c r="B23" s="218"/>
      <c r="C23" s="228"/>
      <c r="D23" s="215"/>
      <c r="E23" s="77" t="s">
        <v>49</v>
      </c>
      <c r="F23" s="79" t="s">
        <v>50</v>
      </c>
      <c r="G23" s="105" t="s">
        <v>38</v>
      </c>
      <c r="H23" s="107" t="s">
        <v>219</v>
      </c>
      <c r="I23" s="100" t="str">
        <f t="shared" si="2"/>
        <v>Mantenimiento del control</v>
      </c>
      <c r="J23" s="99">
        <f t="shared" si="0"/>
        <v>20</v>
      </c>
      <c r="K23" s="97">
        <v>0.12345678911999999</v>
      </c>
      <c r="L23" s="97">
        <f t="shared" si="3"/>
        <v>20.123456789119999</v>
      </c>
    </row>
    <row r="24" spans="1:32" s="46" customFormat="1" ht="49.5" x14ac:dyDescent="0.25">
      <c r="A24" s="95" t="str">
        <f t="shared" si="1"/>
        <v>1i</v>
      </c>
      <c r="B24" s="218"/>
      <c r="C24" s="228"/>
      <c r="D24" s="215"/>
      <c r="E24" s="77" t="s">
        <v>51</v>
      </c>
      <c r="F24" s="79" t="s">
        <v>52</v>
      </c>
      <c r="G24" s="105" t="s">
        <v>38</v>
      </c>
      <c r="H24" s="107" t="s">
        <v>220</v>
      </c>
      <c r="I24" s="100" t="str">
        <f t="shared" si="2"/>
        <v>Mantenimiento del control</v>
      </c>
      <c r="J24" s="99">
        <f t="shared" si="0"/>
        <v>20</v>
      </c>
      <c r="K24" s="97">
        <v>0.123456789123</v>
      </c>
      <c r="L24" s="97">
        <f t="shared" si="3"/>
        <v>20.123456789123001</v>
      </c>
    </row>
    <row r="25" spans="1:32" s="46" customFormat="1" ht="132" x14ac:dyDescent="0.25">
      <c r="A25" s="95" t="str">
        <f t="shared" si="1"/>
        <v>1j</v>
      </c>
      <c r="B25" s="218"/>
      <c r="C25" s="228"/>
      <c r="D25" s="215"/>
      <c r="E25" s="77" t="s">
        <v>53</v>
      </c>
      <c r="F25" s="79" t="s">
        <v>54</v>
      </c>
      <c r="G25" s="105" t="s">
        <v>75</v>
      </c>
      <c r="H25" s="107" t="s">
        <v>210</v>
      </c>
      <c r="I25" s="100" t="str">
        <f t="shared" si="2"/>
        <v>Oportunidad de mejora</v>
      </c>
      <c r="J25" s="99">
        <f t="shared" si="0"/>
        <v>10</v>
      </c>
      <c r="K25" s="97">
        <v>0.1234567891234</v>
      </c>
      <c r="L25" s="97">
        <f t="shared" si="3"/>
        <v>10.1234567891234</v>
      </c>
    </row>
    <row r="26" spans="1:32" s="46" customFormat="1" ht="49.5" x14ac:dyDescent="0.25">
      <c r="A26" s="95" t="str">
        <f t="shared" si="1"/>
        <v>1k</v>
      </c>
      <c r="B26" s="218"/>
      <c r="C26" s="228"/>
      <c r="D26" s="215"/>
      <c r="E26" s="77" t="s">
        <v>55</v>
      </c>
      <c r="F26" s="79" t="s">
        <v>56</v>
      </c>
      <c r="G26" s="105" t="s">
        <v>75</v>
      </c>
      <c r="H26" s="107" t="s">
        <v>221</v>
      </c>
      <c r="I26" s="100" t="str">
        <f t="shared" si="2"/>
        <v>Oportunidad de mejora</v>
      </c>
      <c r="J26" s="99">
        <f t="shared" si="0"/>
        <v>10</v>
      </c>
      <c r="K26" s="97">
        <v>0.12345678912345</v>
      </c>
      <c r="L26" s="97">
        <f t="shared" si="3"/>
        <v>10.12345678912345</v>
      </c>
    </row>
    <row r="27" spans="1:32" s="46" customFormat="1" ht="33.75" thickBot="1" x14ac:dyDescent="0.3">
      <c r="A27" s="95" t="str">
        <f t="shared" si="1"/>
        <v>1l</v>
      </c>
      <c r="B27" s="219"/>
      <c r="C27" s="229"/>
      <c r="D27" s="216"/>
      <c r="E27" s="80" t="s">
        <v>57</v>
      </c>
      <c r="F27" s="81" t="s">
        <v>58</v>
      </c>
      <c r="G27" s="108" t="s">
        <v>38</v>
      </c>
      <c r="H27" s="109" t="s">
        <v>222</v>
      </c>
      <c r="I27" s="101" t="str">
        <f t="shared" si="2"/>
        <v>Mantenimiento del control</v>
      </c>
      <c r="J27" s="99">
        <f t="shared" si="0"/>
        <v>20</v>
      </c>
      <c r="K27" s="97">
        <v>0.12345678912345601</v>
      </c>
      <c r="L27" s="97">
        <f t="shared" si="3"/>
        <v>20.123456789123455</v>
      </c>
    </row>
    <row r="28" spans="1:32" s="46" customFormat="1" ht="115.5" x14ac:dyDescent="0.25">
      <c r="A28" s="95" t="str">
        <f>2&amp;E28</f>
        <v>2a</v>
      </c>
      <c r="B28" s="220" t="s">
        <v>59</v>
      </c>
      <c r="C28" s="230" t="s">
        <v>60</v>
      </c>
      <c r="D28" s="223" t="s">
        <v>61</v>
      </c>
      <c r="E28" s="75" t="s">
        <v>34</v>
      </c>
      <c r="F28" s="76" t="s">
        <v>62</v>
      </c>
      <c r="G28" s="103" t="s">
        <v>38</v>
      </c>
      <c r="H28" s="104" t="s">
        <v>223</v>
      </c>
      <c r="I28" s="96" t="str">
        <f t="shared" si="2"/>
        <v>Mantenimiento del control</v>
      </c>
      <c r="J28" s="97">
        <f>+IF(G28="Si",40,IF(G28="En proceso",30,20))</f>
        <v>40</v>
      </c>
      <c r="K28" s="97">
        <v>0.23</v>
      </c>
      <c r="L28" s="97">
        <f t="shared" si="3"/>
        <v>40.229999999999997</v>
      </c>
    </row>
    <row r="29" spans="1:32" s="46" customFormat="1" ht="66" x14ac:dyDescent="0.25">
      <c r="A29" s="95" t="str">
        <f t="shared" ref="A29:A31" si="4">2&amp;E29</f>
        <v>2b</v>
      </c>
      <c r="B29" s="221"/>
      <c r="C29" s="231"/>
      <c r="D29" s="224"/>
      <c r="E29" s="77" t="s">
        <v>36</v>
      </c>
      <c r="F29" s="79" t="s">
        <v>63</v>
      </c>
      <c r="G29" s="105" t="s">
        <v>75</v>
      </c>
      <c r="H29" s="107" t="s">
        <v>224</v>
      </c>
      <c r="I29" s="100" t="str">
        <f t="shared" si="2"/>
        <v>Oportunidad de mejora</v>
      </c>
      <c r="J29" s="97">
        <f>+IF(G29="Si",40,IF(G29="En proceso",30,20))</f>
        <v>30</v>
      </c>
      <c r="K29" s="97">
        <v>0.23400000000000001</v>
      </c>
      <c r="L29" s="97">
        <f t="shared" si="3"/>
        <v>30.234000000000002</v>
      </c>
    </row>
    <row r="30" spans="1:32" s="46" customFormat="1" ht="49.5" x14ac:dyDescent="0.25">
      <c r="A30" s="95" t="str">
        <f t="shared" si="4"/>
        <v>2c</v>
      </c>
      <c r="B30" s="221"/>
      <c r="C30" s="231"/>
      <c r="D30" s="224"/>
      <c r="E30" s="77" t="s">
        <v>39</v>
      </c>
      <c r="F30" s="79" t="s">
        <v>64</v>
      </c>
      <c r="G30" s="105" t="s">
        <v>38</v>
      </c>
      <c r="H30" s="107" t="s">
        <v>211</v>
      </c>
      <c r="I30" s="100" t="str">
        <f t="shared" si="2"/>
        <v>Mantenimiento del control</v>
      </c>
      <c r="J30" s="97">
        <f>+IF(G30="Si",40,IF(G30="En proceso",30,20))</f>
        <v>40</v>
      </c>
      <c r="K30" s="97">
        <v>0.23449999999999999</v>
      </c>
      <c r="L30" s="97">
        <f t="shared" si="3"/>
        <v>40.234499999999997</v>
      </c>
    </row>
    <row r="31" spans="1:32" s="46" customFormat="1" ht="66.75" thickBot="1" x14ac:dyDescent="0.3">
      <c r="A31" s="95" t="str">
        <f t="shared" si="4"/>
        <v>2d</v>
      </c>
      <c r="B31" s="222"/>
      <c r="C31" s="232"/>
      <c r="D31" s="225"/>
      <c r="E31" s="80" t="s">
        <v>41</v>
      </c>
      <c r="F31" s="81" t="s">
        <v>65</v>
      </c>
      <c r="G31" s="108" t="s">
        <v>38</v>
      </c>
      <c r="H31" s="109" t="s">
        <v>212</v>
      </c>
      <c r="I31" s="101" t="str">
        <f t="shared" si="2"/>
        <v>Mantenimiento del control</v>
      </c>
      <c r="J31" s="97">
        <f>+IF(G31="Si",40,IF(G31="En proceso",30,20))</f>
        <v>40</v>
      </c>
      <c r="K31" s="97">
        <v>0.23455999999999999</v>
      </c>
      <c r="L31" s="97">
        <f t="shared" si="3"/>
        <v>40.234560000000002</v>
      </c>
    </row>
    <row r="32" spans="1:32" s="46" customFormat="1" ht="82.5" customHeight="1" x14ac:dyDescent="0.25">
      <c r="A32" s="95" t="str">
        <f>3&amp;E32</f>
        <v>3a</v>
      </c>
      <c r="B32" s="242" t="s">
        <v>66</v>
      </c>
      <c r="C32" s="242" t="s">
        <v>60</v>
      </c>
      <c r="D32" s="243" t="s">
        <v>67</v>
      </c>
      <c r="E32" s="77" t="s">
        <v>34</v>
      </c>
      <c r="F32" s="79" t="s">
        <v>68</v>
      </c>
      <c r="G32" s="105" t="s">
        <v>38</v>
      </c>
      <c r="H32" s="107" t="s">
        <v>225</v>
      </c>
      <c r="I32" s="100" t="str">
        <f t="shared" si="2"/>
        <v>Mantenimiento del control</v>
      </c>
      <c r="J32" s="97">
        <f t="shared" ref="J32:J37" si="5">+IF(G32="Si",40,IF(G32="En proceso",30,20))</f>
        <v>40</v>
      </c>
      <c r="K32" s="102">
        <v>0.234567</v>
      </c>
      <c r="L32" s="97">
        <f t="shared" ref="L32:L37" si="6">+J32+K32</f>
        <v>40.234566999999998</v>
      </c>
      <c r="M32" s="45"/>
      <c r="N32" s="45"/>
      <c r="O32" s="45"/>
      <c r="P32" s="45"/>
      <c r="Q32" s="45"/>
      <c r="R32" s="45"/>
      <c r="S32" s="45"/>
      <c r="T32" s="45"/>
      <c r="U32" s="45"/>
      <c r="V32" s="45"/>
      <c r="W32" s="45"/>
      <c r="X32" s="45"/>
      <c r="Y32" s="45"/>
      <c r="Z32" s="45"/>
      <c r="AA32" s="45"/>
      <c r="AB32" s="45"/>
      <c r="AC32" s="45"/>
      <c r="AD32" s="45"/>
      <c r="AE32" s="45"/>
      <c r="AF32" s="45"/>
    </row>
    <row r="33" spans="1:32" s="46" customFormat="1" ht="66" x14ac:dyDescent="0.25">
      <c r="A33" s="95" t="str">
        <f t="shared" ref="A33:A34" si="7">3&amp;E33</f>
        <v>3b</v>
      </c>
      <c r="B33" s="242"/>
      <c r="C33" s="242"/>
      <c r="D33" s="243"/>
      <c r="E33" s="77" t="s">
        <v>36</v>
      </c>
      <c r="F33" s="79" t="s">
        <v>69</v>
      </c>
      <c r="G33" s="105" t="s">
        <v>75</v>
      </c>
      <c r="H33" s="107" t="s">
        <v>226</v>
      </c>
      <c r="I33" s="100" t="str">
        <f t="shared" si="2"/>
        <v>Oportunidad de mejora</v>
      </c>
      <c r="J33" s="97">
        <f t="shared" si="5"/>
        <v>30</v>
      </c>
      <c r="K33" s="102">
        <v>0.23456779999999999</v>
      </c>
      <c r="L33" s="97">
        <f t="shared" si="6"/>
        <v>30.234567800000001</v>
      </c>
      <c r="M33" s="45"/>
      <c r="N33" s="45"/>
      <c r="O33" s="45"/>
      <c r="P33" s="45"/>
      <c r="Q33" s="45"/>
      <c r="R33" s="45"/>
      <c r="S33" s="45"/>
      <c r="T33" s="45"/>
      <c r="U33" s="45"/>
      <c r="V33" s="45"/>
      <c r="W33" s="45"/>
      <c r="X33" s="45"/>
      <c r="Y33" s="45"/>
      <c r="Z33" s="45"/>
      <c r="AA33" s="45"/>
      <c r="AB33" s="45"/>
      <c r="AC33" s="45"/>
      <c r="AD33" s="45"/>
      <c r="AE33" s="45"/>
      <c r="AF33" s="45"/>
    </row>
    <row r="34" spans="1:32" s="46" customFormat="1" ht="123" customHeight="1" thickBot="1" x14ac:dyDescent="0.3">
      <c r="A34" s="95" t="str">
        <f t="shared" si="7"/>
        <v>3c</v>
      </c>
      <c r="B34" s="242"/>
      <c r="C34" s="242"/>
      <c r="D34" s="243"/>
      <c r="E34" s="77" t="s">
        <v>39</v>
      </c>
      <c r="F34" s="79" t="s">
        <v>70</v>
      </c>
      <c r="G34" s="105" t="s">
        <v>75</v>
      </c>
      <c r="H34" s="107" t="s">
        <v>227</v>
      </c>
      <c r="I34" s="100" t="str">
        <f t="shared" si="2"/>
        <v>Oportunidad de mejora</v>
      </c>
      <c r="J34" s="97">
        <f t="shared" si="5"/>
        <v>30</v>
      </c>
      <c r="K34" s="102">
        <v>0.23456789</v>
      </c>
      <c r="L34" s="97">
        <f t="shared" si="6"/>
        <v>30.234567890000001</v>
      </c>
      <c r="M34" s="45"/>
      <c r="N34" s="45"/>
      <c r="O34" s="45"/>
      <c r="P34" s="45"/>
      <c r="Q34" s="45"/>
      <c r="R34" s="45"/>
      <c r="S34" s="45"/>
      <c r="T34" s="45"/>
      <c r="U34" s="45"/>
      <c r="V34" s="45"/>
      <c r="W34" s="45"/>
      <c r="X34" s="45"/>
      <c r="Y34" s="45"/>
      <c r="Z34" s="45"/>
      <c r="AA34" s="45"/>
      <c r="AB34" s="45"/>
      <c r="AC34" s="45"/>
      <c r="AD34" s="45"/>
      <c r="AE34" s="45"/>
      <c r="AF34" s="45"/>
    </row>
    <row r="35" spans="1:32" s="46" customFormat="1" ht="65.25" customHeight="1" x14ac:dyDescent="0.25">
      <c r="A35" s="95" t="str">
        <f>4&amp;E35</f>
        <v>4a</v>
      </c>
      <c r="B35" s="244" t="s">
        <v>71</v>
      </c>
      <c r="C35" s="231" t="s">
        <v>60</v>
      </c>
      <c r="D35" s="224" t="s">
        <v>72</v>
      </c>
      <c r="E35" s="75" t="s">
        <v>34</v>
      </c>
      <c r="F35" s="76" t="s">
        <v>73</v>
      </c>
      <c r="G35" s="103" t="s">
        <v>38</v>
      </c>
      <c r="H35" s="104" t="s">
        <v>228</v>
      </c>
      <c r="I35" s="96" t="str">
        <f t="shared" si="2"/>
        <v>Mantenimiento del control</v>
      </c>
      <c r="J35" s="97">
        <f t="shared" si="5"/>
        <v>40</v>
      </c>
      <c r="K35" s="102">
        <v>0.23456789119999999</v>
      </c>
      <c r="L35" s="97">
        <f t="shared" si="6"/>
        <v>40.234567891200001</v>
      </c>
      <c r="M35" s="45"/>
      <c r="N35" s="45"/>
      <c r="O35" s="45"/>
      <c r="P35" s="45"/>
      <c r="Q35" s="45"/>
    </row>
    <row r="36" spans="1:32" s="46" customFormat="1" ht="87" customHeight="1" x14ac:dyDescent="0.25">
      <c r="A36" s="95" t="str">
        <f t="shared" ref="A36:A37" si="8">4&amp;E36</f>
        <v>4b</v>
      </c>
      <c r="B36" s="244"/>
      <c r="C36" s="231"/>
      <c r="D36" s="224"/>
      <c r="E36" s="77" t="s">
        <v>36</v>
      </c>
      <c r="F36" s="79" t="s">
        <v>74</v>
      </c>
      <c r="G36" s="105" t="s">
        <v>75</v>
      </c>
      <c r="H36" s="107" t="s">
        <v>229</v>
      </c>
      <c r="I36" s="100" t="str">
        <f t="shared" si="2"/>
        <v>Oportunidad de mejora</v>
      </c>
      <c r="J36" s="97">
        <f t="shared" si="5"/>
        <v>30</v>
      </c>
      <c r="K36" s="102">
        <v>0.23456789122999999</v>
      </c>
      <c r="L36" s="97">
        <f t="shared" si="6"/>
        <v>30.23456789123</v>
      </c>
      <c r="M36" s="45"/>
      <c r="N36" s="45"/>
      <c r="O36" s="45"/>
      <c r="P36" s="45"/>
      <c r="Q36" s="45"/>
    </row>
    <row r="37" spans="1:32" s="46" customFormat="1" ht="106.5" customHeight="1" thickBot="1" x14ac:dyDescent="0.3">
      <c r="A37" s="95" t="str">
        <f t="shared" si="8"/>
        <v>4c</v>
      </c>
      <c r="B37" s="244"/>
      <c r="C37" s="231"/>
      <c r="D37" s="224"/>
      <c r="E37" s="77" t="s">
        <v>39</v>
      </c>
      <c r="F37" s="79" t="s">
        <v>76</v>
      </c>
      <c r="G37" s="105" t="s">
        <v>38</v>
      </c>
      <c r="H37" s="107" t="s">
        <v>230</v>
      </c>
      <c r="I37" s="100" t="str">
        <f t="shared" si="2"/>
        <v>Mantenimiento del control</v>
      </c>
      <c r="J37" s="97">
        <f t="shared" si="5"/>
        <v>40</v>
      </c>
      <c r="K37" s="102">
        <v>0.23456789123399999</v>
      </c>
      <c r="L37" s="97">
        <f t="shared" si="6"/>
        <v>40.234567891234001</v>
      </c>
      <c r="M37" s="45"/>
      <c r="N37" s="45"/>
      <c r="O37" s="45"/>
      <c r="P37" s="45"/>
      <c r="Q37" s="45"/>
    </row>
    <row r="38" spans="1:32" s="46" customFormat="1" ht="85.5" customHeight="1" x14ac:dyDescent="0.25">
      <c r="A38" s="95" t="str">
        <f>5&amp;E38</f>
        <v>5a</v>
      </c>
      <c r="B38" s="245" t="s">
        <v>77</v>
      </c>
      <c r="C38" s="233" t="s">
        <v>78</v>
      </c>
      <c r="D38" s="248" t="s">
        <v>79</v>
      </c>
      <c r="E38" s="75" t="s">
        <v>34</v>
      </c>
      <c r="F38" s="76" t="s">
        <v>80</v>
      </c>
      <c r="G38" s="103" t="s">
        <v>38</v>
      </c>
      <c r="H38" s="104" t="s">
        <v>205</v>
      </c>
      <c r="I38" s="96" t="str">
        <f t="shared" si="2"/>
        <v>Mantenimiento del control</v>
      </c>
      <c r="J38" s="97">
        <f>+IF(G38="Si",60,IF(G38="En proceso",50,40))</f>
        <v>60</v>
      </c>
      <c r="K38" s="97">
        <v>0.31</v>
      </c>
      <c r="L38" s="97">
        <f t="shared" si="3"/>
        <v>60.31</v>
      </c>
    </row>
    <row r="39" spans="1:32" s="46" customFormat="1" ht="63" x14ac:dyDescent="0.25">
      <c r="A39" s="95" t="str">
        <f t="shared" ref="A39:A42" si="9">5&amp;E39</f>
        <v>5b</v>
      </c>
      <c r="B39" s="246"/>
      <c r="C39" s="234"/>
      <c r="D39" s="249"/>
      <c r="E39" s="77" t="s">
        <v>36</v>
      </c>
      <c r="F39" s="79" t="s">
        <v>81</v>
      </c>
      <c r="G39" s="105" t="s">
        <v>38</v>
      </c>
      <c r="H39" s="107" t="s">
        <v>231</v>
      </c>
      <c r="I39" s="100" t="str">
        <f t="shared" si="2"/>
        <v>Mantenimiento del control</v>
      </c>
      <c r="J39" s="97">
        <f>+IF(G39="Si",60,IF(G39="En proceso",50,40))</f>
        <v>60</v>
      </c>
      <c r="K39" s="97">
        <v>0.32300000000000001</v>
      </c>
      <c r="L39" s="97">
        <f t="shared" si="3"/>
        <v>60.323</v>
      </c>
    </row>
    <row r="40" spans="1:32" s="46" customFormat="1" ht="114.75" customHeight="1" x14ac:dyDescent="0.25">
      <c r="A40" s="95" t="str">
        <f t="shared" si="9"/>
        <v>5c</v>
      </c>
      <c r="B40" s="246"/>
      <c r="C40" s="234"/>
      <c r="D40" s="249"/>
      <c r="E40" s="77" t="s">
        <v>39</v>
      </c>
      <c r="F40" s="79" t="s">
        <v>82</v>
      </c>
      <c r="G40" s="105" t="s">
        <v>38</v>
      </c>
      <c r="H40" s="107" t="s">
        <v>232</v>
      </c>
      <c r="I40" s="100" t="str">
        <f t="shared" si="2"/>
        <v>Mantenimiento del control</v>
      </c>
      <c r="J40" s="97">
        <f>+IF(G40="Si",60,IF(G40="En proceso",50,40))</f>
        <v>60</v>
      </c>
      <c r="K40" s="97">
        <v>0.32400000000000001</v>
      </c>
      <c r="L40" s="97">
        <f t="shared" si="3"/>
        <v>60.323999999999998</v>
      </c>
    </row>
    <row r="41" spans="1:32" s="46" customFormat="1" ht="94.5" x14ac:dyDescent="0.25">
      <c r="A41" s="95" t="str">
        <f t="shared" si="9"/>
        <v>5d</v>
      </c>
      <c r="B41" s="246"/>
      <c r="C41" s="234"/>
      <c r="D41" s="249"/>
      <c r="E41" s="77" t="s">
        <v>41</v>
      </c>
      <c r="F41" s="79" t="s">
        <v>83</v>
      </c>
      <c r="G41" s="105" t="s">
        <v>38</v>
      </c>
      <c r="H41" s="107" t="s">
        <v>192</v>
      </c>
      <c r="I41" s="100" t="str">
        <f t="shared" si="2"/>
        <v>Mantenimiento del control</v>
      </c>
      <c r="J41" s="97">
        <f>+IF(G41="Si",60,IF(G41="En proceso",50,40))</f>
        <v>60</v>
      </c>
      <c r="K41" s="97">
        <v>0.32500000000000001</v>
      </c>
      <c r="L41" s="97">
        <f t="shared" si="3"/>
        <v>60.325000000000003</v>
      </c>
    </row>
    <row r="42" spans="1:32" s="46" customFormat="1" ht="48" thickBot="1" x14ac:dyDescent="0.3">
      <c r="A42" s="95" t="str">
        <f t="shared" si="9"/>
        <v>5e</v>
      </c>
      <c r="B42" s="247"/>
      <c r="C42" s="235"/>
      <c r="D42" s="250"/>
      <c r="E42" s="80" t="s">
        <v>43</v>
      </c>
      <c r="F42" s="81" t="s">
        <v>84</v>
      </c>
      <c r="G42" s="108" t="s">
        <v>38</v>
      </c>
      <c r="H42" s="109" t="s">
        <v>198</v>
      </c>
      <c r="I42" s="101" t="str">
        <f t="shared" si="2"/>
        <v>Mantenimiento del control</v>
      </c>
      <c r="J42" s="97">
        <f>+IF(G42="Si",60,IF(G42="En proceso",50,40))</f>
        <v>60</v>
      </c>
      <c r="K42" s="97">
        <v>0.32600000000000001</v>
      </c>
      <c r="L42" s="97">
        <f t="shared" si="3"/>
        <v>60.326000000000001</v>
      </c>
    </row>
    <row r="43" spans="1:32" s="46" customFormat="1" ht="54" customHeight="1" x14ac:dyDescent="0.25">
      <c r="A43" s="95" t="str">
        <f>6&amp;E43</f>
        <v>6a</v>
      </c>
      <c r="B43" s="205" t="s">
        <v>85</v>
      </c>
      <c r="C43" s="236" t="s">
        <v>86</v>
      </c>
      <c r="D43" s="202" t="s">
        <v>87</v>
      </c>
      <c r="E43" s="75" t="s">
        <v>34</v>
      </c>
      <c r="F43" s="76" t="s">
        <v>88</v>
      </c>
      <c r="G43" s="103" t="s">
        <v>38</v>
      </c>
      <c r="H43" s="104" t="s">
        <v>233</v>
      </c>
      <c r="I43" s="96" t="str">
        <f t="shared" si="2"/>
        <v>Mantenimiento del control</v>
      </c>
      <c r="J43" s="97">
        <f t="shared" ref="J43:J49" si="10">+IF(G43="Si",80,IF(G43="En proceso",70,60))</f>
        <v>80</v>
      </c>
      <c r="K43" s="97">
        <v>0.41199999999999998</v>
      </c>
      <c r="L43" s="97">
        <f t="shared" si="3"/>
        <v>80.412000000000006</v>
      </c>
    </row>
    <row r="44" spans="1:32" s="46" customFormat="1" ht="74.25" customHeight="1" x14ac:dyDescent="0.25">
      <c r="A44" s="95" t="str">
        <f t="shared" ref="A44:A49" si="11">6&amp;E44</f>
        <v>6b</v>
      </c>
      <c r="B44" s="206"/>
      <c r="C44" s="237"/>
      <c r="D44" s="203"/>
      <c r="E44" s="77" t="s">
        <v>36</v>
      </c>
      <c r="F44" s="79" t="s">
        <v>89</v>
      </c>
      <c r="G44" s="105" t="s">
        <v>38</v>
      </c>
      <c r="H44" s="107" t="s">
        <v>242</v>
      </c>
      <c r="I44" s="100" t="str">
        <f t="shared" si="2"/>
        <v>Mantenimiento del control</v>
      </c>
      <c r="J44" s="97">
        <f t="shared" si="10"/>
        <v>80</v>
      </c>
      <c r="K44" s="97">
        <v>0.4123</v>
      </c>
      <c r="L44" s="97">
        <f t="shared" si="3"/>
        <v>80.412300000000002</v>
      </c>
    </row>
    <row r="45" spans="1:32" s="46" customFormat="1" ht="82.5" x14ac:dyDescent="0.25">
      <c r="A45" s="95" t="str">
        <f t="shared" si="11"/>
        <v>6c</v>
      </c>
      <c r="B45" s="206"/>
      <c r="C45" s="237"/>
      <c r="D45" s="203"/>
      <c r="E45" s="77" t="s">
        <v>39</v>
      </c>
      <c r="F45" s="79" t="s">
        <v>90</v>
      </c>
      <c r="G45" s="105" t="s">
        <v>38</v>
      </c>
      <c r="H45" s="107" t="s">
        <v>214</v>
      </c>
      <c r="I45" s="100" t="str">
        <f t="shared" si="2"/>
        <v>Mantenimiento del control</v>
      </c>
      <c r="J45" s="97">
        <f t="shared" si="10"/>
        <v>80</v>
      </c>
      <c r="K45" s="97">
        <v>0.41233999999999998</v>
      </c>
      <c r="L45" s="97">
        <f t="shared" si="3"/>
        <v>80.41234</v>
      </c>
    </row>
    <row r="46" spans="1:32" s="46" customFormat="1" ht="48" customHeight="1" x14ac:dyDescent="0.25">
      <c r="A46" s="95" t="str">
        <f t="shared" si="11"/>
        <v>6d</v>
      </c>
      <c r="B46" s="206"/>
      <c r="C46" s="237"/>
      <c r="D46" s="203"/>
      <c r="E46" s="77" t="s">
        <v>41</v>
      </c>
      <c r="F46" s="79" t="s">
        <v>91</v>
      </c>
      <c r="G46" s="105" t="s">
        <v>38</v>
      </c>
      <c r="H46" s="107" t="s">
        <v>213</v>
      </c>
      <c r="I46" s="100" t="str">
        <f t="shared" si="2"/>
        <v>Mantenimiento del control</v>
      </c>
      <c r="J46" s="97">
        <f t="shared" si="10"/>
        <v>80</v>
      </c>
      <c r="K46" s="97">
        <v>0.41234500000000002</v>
      </c>
      <c r="L46" s="97">
        <f t="shared" si="3"/>
        <v>80.412345000000002</v>
      </c>
    </row>
    <row r="47" spans="1:32" s="46" customFormat="1" ht="99" x14ac:dyDescent="0.25">
      <c r="A47" s="95" t="str">
        <f t="shared" si="11"/>
        <v>6e</v>
      </c>
      <c r="B47" s="206"/>
      <c r="C47" s="237"/>
      <c r="D47" s="203"/>
      <c r="E47" s="77" t="s">
        <v>43</v>
      </c>
      <c r="F47" s="79" t="s">
        <v>92</v>
      </c>
      <c r="G47" s="105" t="s">
        <v>38</v>
      </c>
      <c r="H47" s="107" t="s">
        <v>215</v>
      </c>
      <c r="I47" s="100" t="str">
        <f t="shared" si="2"/>
        <v>Mantenimiento del control</v>
      </c>
      <c r="J47" s="97">
        <f t="shared" si="10"/>
        <v>80</v>
      </c>
      <c r="K47" s="97">
        <v>0.41234559999999998</v>
      </c>
      <c r="L47" s="97">
        <f t="shared" si="3"/>
        <v>80.412345599999995</v>
      </c>
    </row>
    <row r="48" spans="1:32" s="46" customFormat="1" ht="99" x14ac:dyDescent="0.25">
      <c r="A48" s="95" t="str">
        <f t="shared" si="11"/>
        <v>6f</v>
      </c>
      <c r="B48" s="206"/>
      <c r="C48" s="237"/>
      <c r="D48" s="203"/>
      <c r="E48" s="77" t="s">
        <v>45</v>
      </c>
      <c r="F48" s="79" t="s">
        <v>93</v>
      </c>
      <c r="G48" s="105" t="s">
        <v>75</v>
      </c>
      <c r="H48" s="107" t="s">
        <v>206</v>
      </c>
      <c r="I48" s="100" t="str">
        <f t="shared" si="2"/>
        <v>Oportunidad de mejora</v>
      </c>
      <c r="J48" s="97">
        <f t="shared" si="10"/>
        <v>70</v>
      </c>
      <c r="K48" s="97">
        <v>0.41234567</v>
      </c>
      <c r="L48" s="97">
        <f t="shared" si="3"/>
        <v>70.412345669999993</v>
      </c>
    </row>
    <row r="49" spans="1:17" s="46" customFormat="1" ht="48" thickBot="1" x14ac:dyDescent="0.3">
      <c r="A49" s="95" t="str">
        <f t="shared" si="11"/>
        <v>6g</v>
      </c>
      <c r="B49" s="207"/>
      <c r="C49" s="238"/>
      <c r="D49" s="204"/>
      <c r="E49" s="80" t="s">
        <v>47</v>
      </c>
      <c r="F49" s="81" t="s">
        <v>94</v>
      </c>
      <c r="G49" s="108" t="s">
        <v>38</v>
      </c>
      <c r="H49" s="109" t="s">
        <v>194</v>
      </c>
      <c r="I49" s="101" t="str">
        <f t="shared" si="2"/>
        <v>Mantenimiento del control</v>
      </c>
      <c r="J49" s="97">
        <f t="shared" si="10"/>
        <v>80</v>
      </c>
      <c r="K49" s="97">
        <v>0.41234567799999999</v>
      </c>
      <c r="L49" s="97">
        <f t="shared" si="3"/>
        <v>80.412345677999994</v>
      </c>
    </row>
    <row r="50" spans="1:17" s="46" customFormat="1" ht="54.75" customHeight="1" x14ac:dyDescent="0.25">
      <c r="A50" s="95" t="str">
        <f>7&amp;E50</f>
        <v>7a</v>
      </c>
      <c r="B50" s="211" t="s">
        <v>95</v>
      </c>
      <c r="C50" s="239" t="s">
        <v>96</v>
      </c>
      <c r="D50" s="208" t="s">
        <v>97</v>
      </c>
      <c r="E50" s="75" t="s">
        <v>34</v>
      </c>
      <c r="F50" s="76" t="s">
        <v>98</v>
      </c>
      <c r="G50" s="103" t="s">
        <v>38</v>
      </c>
      <c r="H50" s="104" t="s">
        <v>195</v>
      </c>
      <c r="I50" s="96" t="str">
        <f t="shared" si="2"/>
        <v>Mantenimiento del control</v>
      </c>
      <c r="J50" s="97">
        <f>+IF(G50="Si",120,IF(G50="En proceso",100,80))</f>
        <v>120</v>
      </c>
      <c r="K50" s="97">
        <v>0.85099999999999998</v>
      </c>
      <c r="L50" s="97">
        <f t="shared" si="3"/>
        <v>120.851</v>
      </c>
    </row>
    <row r="51" spans="1:17" s="46" customFormat="1" ht="94.5" x14ac:dyDescent="0.25">
      <c r="A51" s="95" t="str">
        <f t="shared" ref="A51:A53" si="12">7&amp;E51</f>
        <v>7d</v>
      </c>
      <c r="B51" s="212"/>
      <c r="C51" s="240"/>
      <c r="D51" s="209"/>
      <c r="E51" s="77" t="s">
        <v>41</v>
      </c>
      <c r="F51" s="79" t="s">
        <v>99</v>
      </c>
      <c r="G51" s="105" t="s">
        <v>38</v>
      </c>
      <c r="H51" s="107" t="s">
        <v>193</v>
      </c>
      <c r="I51" s="100" t="str">
        <f t="shared" si="2"/>
        <v>Mantenimiento del control</v>
      </c>
      <c r="J51" s="97">
        <f t="shared" ref="J51:J59" si="13">+IF(G51="Si",120,IF(G51="En proceso",100,80))</f>
        <v>120</v>
      </c>
      <c r="K51" s="97">
        <v>0.85119999999999996</v>
      </c>
      <c r="L51" s="97">
        <f t="shared" si="3"/>
        <v>120.85120000000001</v>
      </c>
    </row>
    <row r="52" spans="1:17" s="46" customFormat="1" ht="47.25" x14ac:dyDescent="0.25">
      <c r="A52" s="95" t="str">
        <f t="shared" si="12"/>
        <v>7f</v>
      </c>
      <c r="B52" s="212"/>
      <c r="C52" s="240"/>
      <c r="D52" s="209"/>
      <c r="E52" s="77" t="s">
        <v>45</v>
      </c>
      <c r="F52" s="79" t="s">
        <v>100</v>
      </c>
      <c r="G52" s="105" t="s">
        <v>38</v>
      </c>
      <c r="H52" s="107" t="s">
        <v>196</v>
      </c>
      <c r="I52" s="100" t="str">
        <f t="shared" si="2"/>
        <v>Mantenimiento del control</v>
      </c>
      <c r="J52" s="97">
        <f t="shared" si="13"/>
        <v>120</v>
      </c>
      <c r="K52" s="97">
        <v>0.85123000000000004</v>
      </c>
      <c r="L52" s="97">
        <f t="shared" si="3"/>
        <v>120.85123</v>
      </c>
    </row>
    <row r="53" spans="1:17" s="46" customFormat="1" ht="48" thickBot="1" x14ac:dyDescent="0.3">
      <c r="A53" s="95" t="str">
        <f t="shared" si="12"/>
        <v>7g</v>
      </c>
      <c r="B53" s="213"/>
      <c r="C53" s="241"/>
      <c r="D53" s="210"/>
      <c r="E53" s="80" t="s">
        <v>47</v>
      </c>
      <c r="F53" s="81" t="s">
        <v>101</v>
      </c>
      <c r="G53" s="108" t="s">
        <v>38</v>
      </c>
      <c r="H53" s="109" t="s">
        <v>197</v>
      </c>
      <c r="I53" s="101" t="str">
        <f t="shared" si="2"/>
        <v>Mantenimiento del control</v>
      </c>
      <c r="J53" s="97">
        <f t="shared" si="13"/>
        <v>120</v>
      </c>
      <c r="K53" s="97">
        <v>0.85123400000000005</v>
      </c>
      <c r="L53" s="97">
        <f t="shared" si="3"/>
        <v>120.85123400000001</v>
      </c>
    </row>
    <row r="54" spans="1:17" s="46" customFormat="1" ht="95.25" thickBot="1" x14ac:dyDescent="0.3">
      <c r="A54" s="95" t="str">
        <f>8&amp;E54</f>
        <v>8h</v>
      </c>
      <c r="B54" s="150" t="s">
        <v>102</v>
      </c>
      <c r="C54" s="151" t="s">
        <v>96</v>
      </c>
      <c r="D54" s="70" t="s">
        <v>103</v>
      </c>
      <c r="E54" s="75" t="s">
        <v>49</v>
      </c>
      <c r="F54" s="76" t="s">
        <v>104</v>
      </c>
      <c r="G54" s="103" t="s">
        <v>38</v>
      </c>
      <c r="H54" s="104" t="s">
        <v>200</v>
      </c>
      <c r="I54" s="96" t="str">
        <f t="shared" si="2"/>
        <v>Mantenimiento del control</v>
      </c>
      <c r="J54" s="97">
        <f t="shared" si="13"/>
        <v>120</v>
      </c>
      <c r="K54" s="97">
        <v>0.85123450000000001</v>
      </c>
      <c r="L54" s="97">
        <f t="shared" si="3"/>
        <v>120.8512345</v>
      </c>
    </row>
    <row r="55" spans="1:17" s="46" customFormat="1" ht="71.25" customHeight="1" x14ac:dyDescent="0.25">
      <c r="A55" s="95" t="str">
        <f>9&amp;E55</f>
        <v>9a</v>
      </c>
      <c r="B55" s="211" t="s">
        <v>105</v>
      </c>
      <c r="C55" s="239" t="s">
        <v>96</v>
      </c>
      <c r="D55" s="208" t="s">
        <v>106</v>
      </c>
      <c r="E55" s="75" t="s">
        <v>34</v>
      </c>
      <c r="F55" s="76" t="s">
        <v>107</v>
      </c>
      <c r="G55" s="103" t="s">
        <v>38</v>
      </c>
      <c r="H55" s="104" t="s">
        <v>199</v>
      </c>
      <c r="I55" s="96" t="str">
        <f t="shared" si="2"/>
        <v>Mantenimiento del control</v>
      </c>
      <c r="J55" s="97">
        <f t="shared" si="13"/>
        <v>120</v>
      </c>
      <c r="K55" s="102">
        <v>0.85123455999999997</v>
      </c>
      <c r="L55" s="97">
        <f t="shared" si="3"/>
        <v>120.85123455999999</v>
      </c>
      <c r="M55" s="45"/>
      <c r="N55" s="45"/>
      <c r="O55" s="45"/>
      <c r="P55" s="45"/>
      <c r="Q55" s="45"/>
    </row>
    <row r="56" spans="1:17" s="46" customFormat="1" ht="120.75" customHeight="1" x14ac:dyDescent="0.25">
      <c r="A56" s="95" t="str">
        <f t="shared" ref="A56:A59" si="14">9&amp;E56</f>
        <v>9b</v>
      </c>
      <c r="B56" s="212"/>
      <c r="C56" s="240"/>
      <c r="D56" s="209"/>
      <c r="E56" s="77" t="s">
        <v>36</v>
      </c>
      <c r="F56" s="79" t="s">
        <v>108</v>
      </c>
      <c r="G56" s="105" t="s">
        <v>38</v>
      </c>
      <c r="H56" s="107" t="s">
        <v>207</v>
      </c>
      <c r="I56" s="100" t="str">
        <f t="shared" si="2"/>
        <v>Mantenimiento del control</v>
      </c>
      <c r="J56" s="97">
        <f t="shared" si="13"/>
        <v>120</v>
      </c>
      <c r="K56" s="102">
        <v>0.851234567</v>
      </c>
      <c r="L56" s="97">
        <f t="shared" si="3"/>
        <v>120.85123456700001</v>
      </c>
      <c r="M56" s="45"/>
      <c r="N56" s="45"/>
      <c r="O56" s="45"/>
      <c r="P56" s="45"/>
      <c r="Q56" s="45"/>
    </row>
    <row r="57" spans="1:17" s="46" customFormat="1" ht="47.25" x14ac:dyDescent="0.25">
      <c r="A57" s="95" t="str">
        <f t="shared" si="14"/>
        <v>9c</v>
      </c>
      <c r="B57" s="212"/>
      <c r="C57" s="240"/>
      <c r="D57" s="209"/>
      <c r="E57" s="77" t="s">
        <v>39</v>
      </c>
      <c r="F57" s="79" t="s">
        <v>109</v>
      </c>
      <c r="G57" s="105" t="s">
        <v>38</v>
      </c>
      <c r="H57" s="107" t="s">
        <v>201</v>
      </c>
      <c r="I57" s="100" t="str">
        <f t="shared" si="2"/>
        <v>Mantenimiento del control</v>
      </c>
      <c r="J57" s="97">
        <f t="shared" si="13"/>
        <v>120</v>
      </c>
      <c r="K57" s="102">
        <v>0.85123456779999995</v>
      </c>
      <c r="L57" s="97">
        <f t="shared" si="3"/>
        <v>120.85123456780001</v>
      </c>
      <c r="M57" s="45"/>
      <c r="N57" s="45"/>
      <c r="O57" s="45"/>
      <c r="P57" s="45"/>
      <c r="Q57" s="45"/>
    </row>
    <row r="58" spans="1:17" s="46" customFormat="1" ht="33" x14ac:dyDescent="0.25">
      <c r="A58" s="95" t="str">
        <f t="shared" si="14"/>
        <v>9d</v>
      </c>
      <c r="B58" s="212"/>
      <c r="C58" s="240"/>
      <c r="D58" s="209"/>
      <c r="E58" s="77" t="s">
        <v>41</v>
      </c>
      <c r="F58" s="79" t="s">
        <v>110</v>
      </c>
      <c r="G58" s="105" t="s">
        <v>38</v>
      </c>
      <c r="H58" s="107" t="s">
        <v>202</v>
      </c>
      <c r="I58" s="100" t="str">
        <f t="shared" si="2"/>
        <v>Mantenimiento del control</v>
      </c>
      <c r="J58" s="97">
        <f t="shared" si="13"/>
        <v>120</v>
      </c>
      <c r="K58" s="102">
        <v>0.85123456788999996</v>
      </c>
      <c r="L58" s="97">
        <f t="shared" si="3"/>
        <v>120.85123456789</v>
      </c>
      <c r="M58" s="45"/>
      <c r="N58" s="45"/>
      <c r="O58" s="45"/>
      <c r="P58" s="45"/>
      <c r="Q58" s="45"/>
    </row>
    <row r="59" spans="1:17" s="46" customFormat="1" ht="66.75" thickBot="1" x14ac:dyDescent="0.3">
      <c r="A59" s="95" t="str">
        <f t="shared" si="14"/>
        <v>9e</v>
      </c>
      <c r="B59" s="213"/>
      <c r="C59" s="240"/>
      <c r="D59" s="226"/>
      <c r="E59" s="80" t="s">
        <v>43</v>
      </c>
      <c r="F59" s="81" t="s">
        <v>111</v>
      </c>
      <c r="G59" s="108" t="s">
        <v>38</v>
      </c>
      <c r="H59" s="109" t="s">
        <v>203</v>
      </c>
      <c r="I59" s="101" t="str">
        <f t="shared" si="2"/>
        <v>Mantenimiento del control</v>
      </c>
      <c r="J59" s="97">
        <f t="shared" si="13"/>
        <v>120</v>
      </c>
      <c r="K59" s="102">
        <v>0.85123456789100005</v>
      </c>
      <c r="L59" s="97">
        <f t="shared" si="3"/>
        <v>120.851234567891</v>
      </c>
      <c r="M59" s="45"/>
      <c r="N59" s="45"/>
      <c r="O59" s="45"/>
      <c r="P59" s="45"/>
      <c r="Q59" s="45"/>
    </row>
  </sheetData>
  <sheetProtection algorithmName="SHA-512" hashValue="3f8q67IhQ+195mCCu45JxrnKZ5NQYpYn/4DMJ1qNlLoW+1h5DdlwjNz0RDsqicEeH5OxPhf5j92R5BAeBl6Iaw==" saltValue="5vY6GrPfNxnRatmVvJafnA==" spinCount="100000" sheet="1" objects="1" scenarios="1" formatCells="0" formatColumns="0" formatRows="0"/>
  <mergeCells count="25">
    <mergeCell ref="D55:D59"/>
    <mergeCell ref="B55:B59"/>
    <mergeCell ref="C16:C27"/>
    <mergeCell ref="C28:C31"/>
    <mergeCell ref="C38:C42"/>
    <mergeCell ref="C43:C49"/>
    <mergeCell ref="C50:C53"/>
    <mergeCell ref="C32:C34"/>
    <mergeCell ref="C35:C37"/>
    <mergeCell ref="C55:C59"/>
    <mergeCell ref="D32:D34"/>
    <mergeCell ref="B32:B34"/>
    <mergeCell ref="B35:B37"/>
    <mergeCell ref="D35:D37"/>
    <mergeCell ref="B38:B42"/>
    <mergeCell ref="D38:D42"/>
    <mergeCell ref="B14:I14"/>
    <mergeCell ref="D43:D49"/>
    <mergeCell ref="B43:B49"/>
    <mergeCell ref="D50:D53"/>
    <mergeCell ref="B50:B53"/>
    <mergeCell ref="D16:D27"/>
    <mergeCell ref="B16:B27"/>
    <mergeCell ref="B28:B31"/>
    <mergeCell ref="D28:D31"/>
  </mergeCells>
  <dataValidations count="2">
    <dataValidation type="list" allowBlank="1" showInputMessage="1" showErrorMessage="1" sqref="G55:G59 G16:G53" xr:uid="{00000000-0002-0000-0100-000000000000}">
      <formula1>"Si, No, En proceso"</formula1>
    </dataValidation>
    <dataValidation type="list" allowBlank="1" showInputMessage="1" showErrorMessage="1" sqref="G54" xr:uid="{00000000-0002-0000-0100-000001000000}">
      <formula1>"Si, No"</formula1>
    </dataValidation>
  </dataValidations>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C74"/>
  <sheetViews>
    <sheetView zoomScale="80" zoomScaleNormal="80" workbookViewId="0">
      <selection activeCell="G32" sqref="G32"/>
    </sheetView>
  </sheetViews>
  <sheetFormatPr baseColWidth="10" defaultColWidth="11.42578125" defaultRowHeight="15" x14ac:dyDescent="0.25"/>
  <cols>
    <col min="3" max="3" width="22.85546875" customWidth="1"/>
    <col min="4" max="4" width="22.5703125" customWidth="1"/>
    <col min="5" max="5" width="53.42578125" customWidth="1"/>
    <col min="7" max="7" width="28.28515625" customWidth="1"/>
    <col min="8" max="8" width="4.85546875" customWidth="1"/>
    <col min="9" max="9" width="15.28515625" customWidth="1"/>
    <col min="10" max="10" width="22.42578125" customWidth="1"/>
    <col min="11" max="29" width="11.42578125" style="1"/>
  </cols>
  <sheetData>
    <row r="1" spans="1:11" x14ac:dyDescent="0.25">
      <c r="A1" s="1"/>
      <c r="B1" s="1"/>
      <c r="C1" s="1"/>
      <c r="D1" s="1"/>
      <c r="E1" s="1"/>
      <c r="F1" s="1"/>
      <c r="G1" s="1"/>
      <c r="H1" s="1"/>
      <c r="I1" s="1"/>
      <c r="J1" s="1"/>
    </row>
    <row r="2" spans="1:11" s="1" customFormat="1" x14ac:dyDescent="0.25"/>
    <row r="3" spans="1:11" s="1" customFormat="1" x14ac:dyDescent="0.25"/>
    <row r="4" spans="1:11" x14ac:dyDescent="0.25">
      <c r="A4" s="1"/>
      <c r="B4" s="1"/>
      <c r="C4" s="1"/>
      <c r="D4" s="1"/>
      <c r="E4" s="1"/>
      <c r="F4" s="1"/>
      <c r="G4" s="1"/>
      <c r="H4" s="1"/>
      <c r="I4" s="1"/>
      <c r="J4" s="1"/>
    </row>
    <row r="5" spans="1:11" x14ac:dyDescent="0.25">
      <c r="A5" s="1"/>
      <c r="B5" s="1"/>
      <c r="C5" s="1"/>
      <c r="D5" s="1"/>
      <c r="E5" s="1"/>
      <c r="F5" s="1"/>
      <c r="G5" s="1"/>
      <c r="H5" s="1"/>
      <c r="I5" s="1"/>
      <c r="J5" s="1"/>
    </row>
    <row r="6" spans="1:11" ht="15.75" thickBot="1" x14ac:dyDescent="0.3">
      <c r="A6" s="1"/>
      <c r="B6" s="1"/>
      <c r="C6" s="1"/>
      <c r="D6" s="1"/>
      <c r="E6" s="1"/>
      <c r="F6" s="1"/>
      <c r="G6" s="1"/>
      <c r="H6" s="1"/>
      <c r="I6" s="1"/>
      <c r="J6" s="1"/>
    </row>
    <row r="7" spans="1:11" ht="26.25" thickBot="1" x14ac:dyDescent="0.3">
      <c r="A7" s="1"/>
      <c r="B7" s="1"/>
      <c r="C7" s="251" t="s">
        <v>112</v>
      </c>
      <c r="D7" s="252"/>
      <c r="E7" s="252"/>
      <c r="F7" s="252"/>
      <c r="G7" s="252"/>
      <c r="H7" s="252"/>
      <c r="I7" s="252"/>
      <c r="J7" s="252"/>
      <c r="K7" s="253"/>
    </row>
    <row r="8" spans="1:11" s="1" customFormat="1" ht="15.75" thickBot="1" x14ac:dyDescent="0.3">
      <c r="C8" s="36"/>
      <c r="D8" s="36"/>
      <c r="E8" s="37"/>
      <c r="F8" s="37"/>
      <c r="G8" s="37"/>
      <c r="H8" s="37"/>
      <c r="I8" s="47"/>
      <c r="J8" s="37"/>
      <c r="K8" s="37"/>
    </row>
    <row r="9" spans="1:11" ht="21" thickBot="1" x14ac:dyDescent="0.3">
      <c r="A9" s="1"/>
      <c r="B9" s="1"/>
      <c r="C9" s="160" t="s">
        <v>15</v>
      </c>
      <c r="D9" s="161"/>
      <c r="E9" s="161" t="s">
        <v>16</v>
      </c>
      <c r="F9" s="172"/>
      <c r="G9" s="37"/>
      <c r="H9" s="37"/>
      <c r="I9" s="47"/>
      <c r="J9" s="37"/>
      <c r="K9" s="37"/>
    </row>
    <row r="10" spans="1:11" ht="54" customHeight="1" x14ac:dyDescent="0.25">
      <c r="A10" s="1"/>
      <c r="B10" s="1"/>
      <c r="C10" s="173" t="s">
        <v>17</v>
      </c>
      <c r="D10" s="174"/>
      <c r="E10" s="175" t="s">
        <v>18</v>
      </c>
      <c r="F10" s="176"/>
      <c r="G10" s="38"/>
      <c r="H10" s="39">
        <v>1</v>
      </c>
      <c r="I10" s="47"/>
      <c r="J10" s="37"/>
      <c r="K10" s="37"/>
    </row>
    <row r="11" spans="1:11" ht="46.5" customHeight="1" x14ac:dyDescent="0.25">
      <c r="A11" s="1"/>
      <c r="B11" s="1"/>
      <c r="C11" s="162" t="s">
        <v>19</v>
      </c>
      <c r="D11" s="163"/>
      <c r="E11" s="164" t="s">
        <v>113</v>
      </c>
      <c r="F11" s="165"/>
      <c r="G11" s="40" t="s">
        <v>114</v>
      </c>
      <c r="H11" s="39">
        <v>0.75</v>
      </c>
      <c r="I11" s="47"/>
      <c r="J11" s="37"/>
      <c r="K11" s="37"/>
    </row>
    <row r="12" spans="1:11" ht="70.5" customHeight="1" thickBot="1" x14ac:dyDescent="0.3">
      <c r="A12" s="1"/>
      <c r="B12" s="1"/>
      <c r="C12" s="166" t="s">
        <v>21</v>
      </c>
      <c r="D12" s="167"/>
      <c r="E12" s="168" t="s">
        <v>115</v>
      </c>
      <c r="F12" s="169"/>
      <c r="G12" s="41"/>
      <c r="H12" s="39">
        <v>0.25</v>
      </c>
      <c r="I12" s="47"/>
      <c r="J12" s="37"/>
      <c r="K12" s="37"/>
    </row>
    <row r="13" spans="1:11" s="1" customFormat="1" x14ac:dyDescent="0.25"/>
    <row r="14" spans="1:11" s="1" customFormat="1" x14ac:dyDescent="0.25"/>
    <row r="15" spans="1:11" s="1" customFormat="1" x14ac:dyDescent="0.25"/>
    <row r="16" spans="1:11" s="1" customFormat="1" ht="15.75" thickBot="1" x14ac:dyDescent="0.3"/>
    <row r="17" spans="1:10" x14ac:dyDescent="0.25">
      <c r="A17" s="1"/>
      <c r="B17" s="1"/>
      <c r="C17" s="259" t="s">
        <v>116</v>
      </c>
      <c r="D17" s="261" t="s">
        <v>117</v>
      </c>
      <c r="E17" s="262"/>
      <c r="F17" s="263" t="s">
        <v>118</v>
      </c>
      <c r="G17" s="265" t="s">
        <v>119</v>
      </c>
      <c r="H17" s="35"/>
      <c r="I17" s="254" t="s">
        <v>120</v>
      </c>
      <c r="J17" s="254" t="s">
        <v>121</v>
      </c>
    </row>
    <row r="18" spans="1:10" ht="36" customHeight="1" thickBot="1" x14ac:dyDescent="0.3">
      <c r="A18" s="1"/>
      <c r="B18" s="1"/>
      <c r="C18" s="260"/>
      <c r="D18" s="110" t="s">
        <v>122</v>
      </c>
      <c r="E18" s="111" t="s">
        <v>27</v>
      </c>
      <c r="F18" s="264"/>
      <c r="G18" s="266"/>
      <c r="H18" s="35"/>
      <c r="I18" s="255"/>
      <c r="J18" s="255"/>
    </row>
    <row r="19" spans="1:10" ht="65.25" customHeight="1" x14ac:dyDescent="0.25">
      <c r="A19" s="1"/>
      <c r="B19" s="1"/>
      <c r="C19" s="129">
        <v>1</v>
      </c>
      <c r="D19" s="256" t="s">
        <v>32</v>
      </c>
      <c r="E19" s="112" t="str">
        <f>+IFERROR(INDEX(Hoja1!$E$2:$E$45,MATCH('Análisis Resultados'!C19,Hoja1!$H$2:$H$45,0)),"")</f>
        <v>Una estructura organizacional formalizada (organigrama)</v>
      </c>
      <c r="F19" s="113" t="str">
        <f>+IFERROR(VLOOKUP(C19,Hoja1!$H$2:$I$45,2,0),"")</f>
        <v>En proceso</v>
      </c>
      <c r="G19" s="114" t="str">
        <f>+IF(F19="Si","Existe requerimiento pero se requiere actividades  dirigidas a su mantenimiento dentro del marco de las lineas de defensa.",IF(F19="En proceso","Se encuentra en proceso, pero requiere continuar con acciones dirigidas a contar con dicho aspecto de control.","No se encuentra el aspecto  por lo tanto la entidad debera generar acciones dirigidas a que se cumpla con el requerimiento."))</f>
        <v>Se encuentra en proceso, pero requiere continuar con acciones dirigidas a contar con dicho aspecto de control.</v>
      </c>
      <c r="I19" s="130">
        <f>+IF(F19="Si",1,IF(F19="En proceso",0.5,0))</f>
        <v>0.5</v>
      </c>
      <c r="J19" s="269">
        <f>+AVERAGE(I19:I30)</f>
        <v>0.875</v>
      </c>
    </row>
    <row r="20" spans="1:10" ht="33.75" x14ac:dyDescent="0.25">
      <c r="A20" s="1"/>
      <c r="B20" s="1"/>
      <c r="C20" s="129">
        <v>2</v>
      </c>
      <c r="D20" s="257"/>
      <c r="E20" s="115" t="str">
        <f>+IFERROR(INDEX(Hoja1!$E$2:$E$45,MATCH('Análisis Resultados'!C20,Hoja1!$H$2:$H$45,0)),"")</f>
        <v>Procesos de desvinculación de servidores de acuerdo con lo previsto en la Constitución Política y las leyes</v>
      </c>
      <c r="F20" s="116" t="str">
        <f>+IFERROR(VLOOKUP(C20,Hoja1!$H$2:$I$45,2,0),"")</f>
        <v>En proceso</v>
      </c>
      <c r="G20" s="117" t="str">
        <f t="shared" ref="G20:G62" si="0">+IF(F20="Si","Existe requerimiento pero se requiere actividades  dirigidas a su mantenimiento dentro del marco de las lineas de defensa.",IF(F20="En proceso","Se encuentra en proceso, pero requiere continuar con acciones dirigidas a contar con dicho aspecto de control.","No se encuentra el aspecto  por lo tanto la entidad debera generar acciones dirigidas a que se cumpla con el requerimiento."))</f>
        <v>Se encuentra en proceso, pero requiere continuar con acciones dirigidas a contar con dicho aspecto de control.</v>
      </c>
      <c r="I20" s="131">
        <f t="shared" ref="I20:I62" si="1">+IF(F20="Si",1,IF(F20="En proceso",0.5,0))</f>
        <v>0.5</v>
      </c>
      <c r="J20" s="270"/>
    </row>
    <row r="21" spans="1:10" ht="33.75" x14ac:dyDescent="0.25">
      <c r="A21" s="1"/>
      <c r="B21" s="1"/>
      <c r="C21" s="129">
        <v>3</v>
      </c>
      <c r="D21" s="257"/>
      <c r="E21" s="115" t="str">
        <f>+IFERROR(INDEX(Hoja1!$E$2:$E$45,MATCH('Análisis Resultados'!C21,Hoja1!$H$2:$H$45,0)),"")</f>
        <v>Mecanismos de rendición de cuentas a la ciudadanía</v>
      </c>
      <c r="F21" s="116" t="str">
        <f>+IFERROR(VLOOKUP(C21,Hoja1!$H$2:$I$45,2,0),"")</f>
        <v>En proceso</v>
      </c>
      <c r="G21" s="117" t="str">
        <f t="shared" si="0"/>
        <v>Se encuentra en proceso, pero requiere continuar con acciones dirigidas a contar con dicho aspecto de control.</v>
      </c>
      <c r="I21" s="131">
        <f t="shared" si="1"/>
        <v>0.5</v>
      </c>
      <c r="J21" s="270"/>
    </row>
    <row r="22" spans="1:10" ht="56.25" customHeight="1" x14ac:dyDescent="0.25">
      <c r="A22" s="1"/>
      <c r="B22" s="1"/>
      <c r="C22" s="129">
        <v>4</v>
      </c>
      <c r="D22" s="257"/>
      <c r="E22" s="115" t="str">
        <f>+IFERROR(INDEX(Hoja1!$E$2:$E$45,MATCH('Análisis Resultados'!C22,Hoja1!$H$2:$H$45,0)),"")</f>
        <v>Documento interno o adopción del MECI actualizado</v>
      </c>
      <c r="F22" s="116" t="str">
        <f>+IFERROR(VLOOKUP(C22,Hoja1!$H$2:$I$45,2,0),"")</f>
        <v>Si</v>
      </c>
      <c r="G22" s="117" t="str">
        <f t="shared" si="0"/>
        <v>Existe requerimiento pero se requiere actividades  dirigidas a su mantenimiento dentro del marco de las lineas de defensa.</v>
      </c>
      <c r="I22" s="131">
        <f t="shared" si="1"/>
        <v>1</v>
      </c>
      <c r="J22" s="270"/>
    </row>
    <row r="23" spans="1:10" ht="57" x14ac:dyDescent="0.25">
      <c r="A23" s="1"/>
      <c r="B23" s="1"/>
      <c r="C23" s="129">
        <v>5</v>
      </c>
      <c r="D23" s="257"/>
      <c r="E23" s="115" t="str">
        <f>+IFERROR(INDEX(Hoja1!$E$2:$E$45,MATCH('Análisis Resultados'!C23,Hoja1!$H$2:$H$45,0)),"")</f>
        <v>Un documento tal como un código de ética, integridad u otro que formalice los estándares de conducta, los principios institucionales o los valores del servicio público</v>
      </c>
      <c r="F23" s="116" t="str">
        <f>+IFERROR(VLOOKUP(C23,Hoja1!$H$2:$I$45,2,0),"")</f>
        <v>Si</v>
      </c>
      <c r="G23" s="117" t="str">
        <f t="shared" si="0"/>
        <v>Existe requerimiento pero se requiere actividades  dirigidas a su mantenimiento dentro del marco de las lineas de defensa.</v>
      </c>
      <c r="I23" s="131">
        <f t="shared" si="1"/>
        <v>1</v>
      </c>
      <c r="J23" s="270"/>
    </row>
    <row r="24" spans="1:10" ht="45" x14ac:dyDescent="0.25">
      <c r="A24" s="1"/>
      <c r="B24" s="1"/>
      <c r="C24" s="129">
        <v>6</v>
      </c>
      <c r="D24" s="257"/>
      <c r="E24" s="115" t="str">
        <f>+IFERROR(INDEX(Hoja1!$E$2:$E$45,MATCH('Análisis Resultados'!C24,Hoja1!$H$2:$H$45,0)),"")</f>
        <v>Planes, programas y proyectos de acuerdo con las normas que rigen y atendiendo con su propósito fundamental institucional (misión)</v>
      </c>
      <c r="F24" s="116" t="str">
        <f>+IFERROR(VLOOKUP(C24,Hoja1!$H$2:$I$45,2,0),"")</f>
        <v>Si</v>
      </c>
      <c r="G24" s="117" t="str">
        <f t="shared" si="0"/>
        <v>Existe requerimiento pero se requiere actividades  dirigidas a su mantenimiento dentro del marco de las lineas de defensa.</v>
      </c>
      <c r="I24" s="131">
        <f t="shared" si="1"/>
        <v>1</v>
      </c>
      <c r="J24" s="270"/>
    </row>
    <row r="25" spans="1:10" ht="45" x14ac:dyDescent="0.25">
      <c r="A25" s="1"/>
      <c r="B25" s="1"/>
      <c r="C25" s="129">
        <v>7</v>
      </c>
      <c r="D25" s="257"/>
      <c r="E25" s="115" t="str">
        <f>+IFERROR(INDEX(Hoja1!$E$2:$E$45,MATCH('Análisis Resultados'!C25,Hoja1!$H$2:$H$45,0)),"")</f>
        <v>Un manual de funciones que describa los empleos de la entidad</v>
      </c>
      <c r="F25" s="116" t="str">
        <f>+IFERROR(VLOOKUP(C25,Hoja1!$H$2:$I$45,2,0),"")</f>
        <v>Si</v>
      </c>
      <c r="G25" s="117" t="str">
        <f t="shared" si="0"/>
        <v>Existe requerimiento pero se requiere actividades  dirigidas a su mantenimiento dentro del marco de las lineas de defensa.</v>
      </c>
      <c r="I25" s="131">
        <f t="shared" si="1"/>
        <v>1</v>
      </c>
      <c r="J25" s="270"/>
    </row>
    <row r="26" spans="1:10" ht="45" x14ac:dyDescent="0.25">
      <c r="A26" s="1"/>
      <c r="B26" s="1"/>
      <c r="C26" s="129">
        <v>8</v>
      </c>
      <c r="D26" s="257"/>
      <c r="E26" s="115" t="str">
        <f>+IFERROR(INDEX(Hoja1!$E$2:$E$45,MATCH('Análisis Resultados'!C26,Hoja1!$H$2:$H$45,0)),"")</f>
        <v>La documentación de sus procesos y procedimientos o bien una lista de actividades principales que permitan conocer el estado de su gestión</v>
      </c>
      <c r="F26" s="116" t="str">
        <f>+IFERROR(VLOOKUP(C26,Hoja1!$H$2:$I$45,2,0),"")</f>
        <v>Si</v>
      </c>
      <c r="G26" s="117" t="str">
        <f t="shared" si="0"/>
        <v>Existe requerimiento pero se requiere actividades  dirigidas a su mantenimiento dentro del marco de las lineas de defensa.</v>
      </c>
      <c r="I26" s="131">
        <f t="shared" si="1"/>
        <v>1</v>
      </c>
      <c r="J26" s="270"/>
    </row>
    <row r="27" spans="1:10" ht="45" x14ac:dyDescent="0.25">
      <c r="A27" s="1"/>
      <c r="B27" s="1"/>
      <c r="C27" s="129">
        <v>9</v>
      </c>
      <c r="D27" s="257"/>
      <c r="E27" s="115" t="str">
        <f>+IFERROR(INDEX(Hoja1!$E$2:$E$45,MATCH('Análisis Resultados'!C27,Hoja1!$H$2:$H$45,0)),"")</f>
        <v>Vinculación de los servidores públicos de acuerdo con el marco normativo que les rige (carrera administrativa, libre nombramiento y remoción, entre otros)</v>
      </c>
      <c r="F27" s="116" t="str">
        <f>+IFERROR(VLOOKUP(C27,Hoja1!$H$2:$I$45,2,0),"")</f>
        <v>Si</v>
      </c>
      <c r="G27" s="117" t="str">
        <f t="shared" si="0"/>
        <v>Existe requerimiento pero se requiere actividades  dirigidas a su mantenimiento dentro del marco de las lineas de defensa.</v>
      </c>
      <c r="I27" s="131">
        <f t="shared" si="1"/>
        <v>1</v>
      </c>
      <c r="J27" s="270"/>
    </row>
    <row r="28" spans="1:10" ht="45" x14ac:dyDescent="0.25">
      <c r="A28" s="1"/>
      <c r="B28" s="1"/>
      <c r="C28" s="129">
        <v>10</v>
      </c>
      <c r="D28" s="257"/>
      <c r="E28" s="115" t="str">
        <f>+IFERROR(INDEX(Hoja1!$E$2:$E$45,MATCH('Análisis Resultados'!C28,Hoja1!$H$2:$H$45,0)),"")</f>
        <v>Procesos de inducción, capacitación y bienestar social para sus servidores públicos, de manera directa o en asociación con otras entidades municipales</v>
      </c>
      <c r="F28" s="116" t="str">
        <f>+IFERROR(VLOOKUP(C28,Hoja1!$H$2:$I$45,2,0),"")</f>
        <v>Si</v>
      </c>
      <c r="G28" s="117" t="str">
        <f t="shared" si="0"/>
        <v>Existe requerimiento pero se requiere actividades  dirigidas a su mantenimiento dentro del marco de las lineas de defensa.</v>
      </c>
      <c r="I28" s="131">
        <f t="shared" si="1"/>
        <v>1</v>
      </c>
      <c r="J28" s="270"/>
    </row>
    <row r="29" spans="1:10" ht="45" x14ac:dyDescent="0.25">
      <c r="A29" s="1"/>
      <c r="B29" s="1"/>
      <c r="C29" s="129">
        <v>11</v>
      </c>
      <c r="D29" s="257"/>
      <c r="E29" s="115" t="str">
        <f>+IFERROR(INDEX(Hoja1!$E$2:$E$45,MATCH('Análisis Resultados'!C29,Hoja1!$H$2:$H$45,0)),"")</f>
        <v>Evaluación a los servidores públicos de acuerdo con el marco normativo que le rige</v>
      </c>
      <c r="F29" s="116" t="str">
        <f>+IFERROR(VLOOKUP(C29,Hoja1!$H$2:$I$45,2,0),"")</f>
        <v>Si</v>
      </c>
      <c r="G29" s="117" t="str">
        <f>+IF(F29="Si","Existe requerimiento pero se requiere actividades  dirigidas a su mantenimiento dentro del marco de las lineas de defensa.",IF(F29="En proceso","Se encuentra en proceso, pero requiere continuar con acciones dirigidas a contar con dicho aspecto de control.","No se encuentra el aspecto  por lo tanto la entidad debera generar acciones dirigidas a que se cumpla con el requerimiento."))</f>
        <v>Existe requerimiento pero se requiere actividades  dirigidas a su mantenimiento dentro del marco de las lineas de defensa.</v>
      </c>
      <c r="I29" s="131">
        <f t="shared" si="1"/>
        <v>1</v>
      </c>
      <c r="J29" s="270"/>
    </row>
    <row r="30" spans="1:10" ht="45.75" thickBot="1" x14ac:dyDescent="0.3">
      <c r="A30" s="1"/>
      <c r="B30" s="1"/>
      <c r="C30" s="129">
        <v>12</v>
      </c>
      <c r="D30" s="258"/>
      <c r="E30" s="118" t="str">
        <f>+IFERROR(INDEX(Hoja1!$E$2:$E$45,MATCH('Análisis Resultados'!C30,Hoja1!$H$2:$H$45,0)),"")</f>
        <v>Presentación oportuna de sus informes de gestión a las autoridades competentes</v>
      </c>
      <c r="F30" s="119" t="str">
        <f>+IFERROR(VLOOKUP(C30,Hoja1!$H$2:$I$45,2,0),"")</f>
        <v>Si</v>
      </c>
      <c r="G30" s="120" t="str">
        <f t="shared" si="0"/>
        <v>Existe requerimiento pero se requiere actividades  dirigidas a su mantenimiento dentro del marco de las lineas de defensa.</v>
      </c>
      <c r="I30" s="132">
        <f t="shared" si="1"/>
        <v>1</v>
      </c>
      <c r="J30" s="271"/>
    </row>
    <row r="31" spans="1:10" ht="45" customHeight="1" x14ac:dyDescent="0.25">
      <c r="A31" s="1"/>
      <c r="B31" s="1"/>
      <c r="C31" s="129">
        <v>13</v>
      </c>
      <c r="D31" s="283" t="s">
        <v>60</v>
      </c>
      <c r="E31" s="112" t="str">
        <f>+IFERROR(INDEX(Hoja1!$E$2:$E$45,MATCH('Análisis Resultados'!C31,Hoja1!$H$2:$H$45,0)),"")</f>
        <v>La identificación de aquellos problemas o aspectos que pueden afectar el cumplimiento de los planes de la entidad y en general su gestión institucional (riesgos)</v>
      </c>
      <c r="F31" s="113" t="str">
        <f>+IFERROR(VLOOKUP(C31,Hoja1!$H$2:$I$45,2,0),"")</f>
        <v>En proceso</v>
      </c>
      <c r="G31" s="114" t="str">
        <f t="shared" si="0"/>
        <v>Se encuentra en proceso, pero requiere continuar con acciones dirigidas a contar con dicho aspecto de control.</v>
      </c>
      <c r="I31" s="130">
        <f t="shared" si="1"/>
        <v>0.5</v>
      </c>
      <c r="J31" s="267">
        <f>+AVERAGE(I31:I40)</f>
        <v>0.8</v>
      </c>
    </row>
    <row r="32" spans="1:10" ht="57" customHeight="1" x14ac:dyDescent="0.25">
      <c r="A32" s="1"/>
      <c r="B32" s="1"/>
      <c r="C32" s="129">
        <v>14</v>
      </c>
      <c r="D32" s="284"/>
      <c r="E32" s="115" t="str">
        <f>+IFERROR(INDEX(Hoja1!$E$2:$E$45,MATCH('Análisis Resultados'!C32,Hoja1!$H$2:$H$45,0)),"")</f>
        <v>Informan de manera periódica a quien corresponda sobre el desempeño de las actividades de gestión de riesgos</v>
      </c>
      <c r="F32" s="116" t="str">
        <f>+IFERROR(VLOOKUP(C32,Hoja1!$H$2:$I$45,2,0),"")</f>
        <v>En proceso</v>
      </c>
      <c r="G32" s="117" t="str">
        <f t="shared" si="0"/>
        <v>Se encuentra en proceso, pero requiere continuar con acciones dirigidas a contar con dicho aspecto de control.</v>
      </c>
      <c r="I32" s="131">
        <f t="shared" si="1"/>
        <v>0.5</v>
      </c>
      <c r="J32" s="268"/>
    </row>
    <row r="33" spans="1:10" ht="54" customHeight="1" x14ac:dyDescent="0.25">
      <c r="A33" s="1"/>
      <c r="B33" s="1"/>
      <c r="C33" s="129">
        <v>15</v>
      </c>
      <c r="D33" s="284"/>
      <c r="E33" s="115" t="str">
        <f>+IFERROR(INDEX(Hoja1!$E$2:$E$45,MATCH('Análisis Resultados'!C33,Hoja1!$H$2:$H$45,0)),"")</f>
        <v>Identifican deficiencias en las maneras de  controlar los riesgos o problemas en sus procesos, programas o proyectos, y propone los ajustes necesarios</v>
      </c>
      <c r="F33" s="116" t="str">
        <f>+IFERROR(VLOOKUP(C33,Hoja1!$H$2:$I$45,2,0),"")</f>
        <v>En proceso</v>
      </c>
      <c r="G33" s="117" t="str">
        <f t="shared" si="0"/>
        <v>Se encuentra en proceso, pero requiere continuar con acciones dirigidas a contar con dicho aspecto de control.</v>
      </c>
      <c r="I33" s="131">
        <f t="shared" si="1"/>
        <v>0.5</v>
      </c>
      <c r="J33" s="268"/>
    </row>
    <row r="34" spans="1:10" ht="33.75" x14ac:dyDescent="0.25">
      <c r="A34" s="1"/>
      <c r="B34" s="1"/>
      <c r="C34" s="129">
        <v>16</v>
      </c>
      <c r="D34" s="284"/>
      <c r="E34" s="115" t="str">
        <f>+IFERROR(INDEX(Hoja1!$E$2:$E$45,MATCH('Análisis Resultados'!C34,Hoja1!$H$2:$H$45,0)),"")</f>
        <v>Cada líder del equipo autónomamente toma las acciones para solucionarlos.</v>
      </c>
      <c r="F34" s="116" t="str">
        <f>+IFERROR(VLOOKUP(C34,Hoja1!$H$2:$I$45,2,0),"")</f>
        <v>En proceso</v>
      </c>
      <c r="G34" s="117" t="str">
        <f t="shared" si="0"/>
        <v>Se encuentra en proceso, pero requiere continuar con acciones dirigidas a contar con dicho aspecto de control.</v>
      </c>
      <c r="I34" s="131">
        <f t="shared" si="1"/>
        <v>0.5</v>
      </c>
      <c r="J34" s="268"/>
    </row>
    <row r="35" spans="1:10" ht="67.5" customHeight="1" x14ac:dyDescent="0.25">
      <c r="A35" s="1"/>
      <c r="B35" s="1"/>
      <c r="C35" s="129">
        <v>17</v>
      </c>
      <c r="D35" s="284"/>
      <c r="E35" s="115" t="str">
        <f>+IFERROR(INDEX(Hoja1!$E$2:$E$45,MATCH('Análisis Resultados'!C35,Hoja1!$H$2:$H$45,0)),"")</f>
        <v>La identificación de cambios en su entorno que pueden generar consecuencias negativas en su gestión</v>
      </c>
      <c r="F35" s="116" t="str">
        <f>+IFERROR(VLOOKUP(C35,Hoja1!$H$2:$I$45,2,0),"")</f>
        <v>Si</v>
      </c>
      <c r="G35" s="117" t="str">
        <f t="shared" si="0"/>
        <v>Existe requerimiento pero se requiere actividades  dirigidas a su mantenimiento dentro del marco de las lineas de defensa.</v>
      </c>
      <c r="I35" s="131">
        <f t="shared" si="1"/>
        <v>1</v>
      </c>
      <c r="J35" s="268"/>
    </row>
    <row r="36" spans="1:10" ht="45" x14ac:dyDescent="0.25">
      <c r="A36" s="1"/>
      <c r="B36" s="1"/>
      <c r="C36" s="129">
        <v>18</v>
      </c>
      <c r="D36" s="284"/>
      <c r="E36" s="115" t="str">
        <f>+IFERROR(INDEX(Hoja1!$E$2:$E$45,MATCH('Análisis Resultados'!C36,Hoja1!$H$2:$H$45,0)),"")</f>
        <v>La identificación  de los riesgos relacionados con posibles actos de corrupción en el ejercicio de sus funciones</v>
      </c>
      <c r="F36" s="116" t="str">
        <f>+IFERROR(VLOOKUP(C36,Hoja1!$H$2:$I$45,2,0),"")</f>
        <v>Si</v>
      </c>
      <c r="G36" s="117" t="str">
        <f t="shared" si="0"/>
        <v>Existe requerimiento pero se requiere actividades  dirigidas a su mantenimiento dentro del marco de las lineas de defensa.</v>
      </c>
      <c r="I36" s="131">
        <f t="shared" si="1"/>
        <v>1</v>
      </c>
      <c r="J36" s="268"/>
    </row>
    <row r="37" spans="1:10" ht="57" customHeight="1" x14ac:dyDescent="0.25">
      <c r="A37" s="1"/>
      <c r="B37" s="1"/>
      <c r="C37" s="129">
        <v>19</v>
      </c>
      <c r="D37" s="284"/>
      <c r="E37" s="115" t="str">
        <f>+IFERROR(INDEX(Hoja1!$E$2:$E$45,MATCH('Análisis Resultados'!C37,Hoja1!$H$2:$H$45,0)),"")</f>
        <v>Si su capacidad e infraestructura lo permite, identificación de riesgos asociados a las tecnologías de la información y las comunicaciones</v>
      </c>
      <c r="F37" s="116" t="str">
        <f>+IFERROR(VLOOKUP(C37,Hoja1!$H$2:$I$45,2,0),"")</f>
        <v>Si</v>
      </c>
      <c r="G37" s="117" t="str">
        <f t="shared" si="0"/>
        <v>Existe requerimiento pero se requiere actividades  dirigidas a su mantenimiento dentro del marco de las lineas de defensa.</v>
      </c>
      <c r="I37" s="131">
        <f t="shared" si="1"/>
        <v>1</v>
      </c>
      <c r="J37" s="268"/>
    </row>
    <row r="38" spans="1:10" ht="45" x14ac:dyDescent="0.25">
      <c r="A38" s="1"/>
      <c r="B38" s="1"/>
      <c r="C38" s="129">
        <v>20</v>
      </c>
      <c r="D38" s="284"/>
      <c r="E38" s="115" t="str">
        <f>+IFERROR(INDEX(Hoja1!$E$2:$E$45,MATCH('Análisis Resultados'!C38,Hoja1!$H$2:$H$45,0)),"")</f>
        <v>Hacen seguimiento a los problemas (riesgos)  que pueden afectar el cumplimiento de sus procesos, programas o proyectos a cargo</v>
      </c>
      <c r="F38" s="116" t="str">
        <f>+IFERROR(VLOOKUP(C38,Hoja1!$H$2:$I$45,2,0),"")</f>
        <v>Si</v>
      </c>
      <c r="G38" s="117" t="str">
        <f t="shared" si="0"/>
        <v>Existe requerimiento pero se requiere actividades  dirigidas a su mantenimiento dentro del marco de las lineas de defensa.</v>
      </c>
      <c r="I38" s="131">
        <f t="shared" si="1"/>
        <v>1</v>
      </c>
      <c r="J38" s="268"/>
    </row>
    <row r="39" spans="1:10" ht="45" x14ac:dyDescent="0.25">
      <c r="A39" s="1"/>
      <c r="B39" s="1"/>
      <c r="C39" s="129">
        <v>21</v>
      </c>
      <c r="D39" s="284"/>
      <c r="E39" s="115" t="str">
        <f>+IFERROR(INDEX(Hoja1!$E$2:$E$45,MATCH('Análisis Resultados'!C39,Hoja1!$H$2:$H$45,0)),"")</f>
        <v>Se definen espacios de reunión para conocerlos y proponer acciones para su solución</v>
      </c>
      <c r="F39" s="116" t="str">
        <f>+IFERROR(VLOOKUP(C39,Hoja1!$H$2:$I$45,2,0),"")</f>
        <v>Si</v>
      </c>
      <c r="G39" s="117" t="str">
        <f t="shared" si="0"/>
        <v>Existe requerimiento pero se requiere actividades  dirigidas a su mantenimiento dentro del marco de las lineas de defensa.</v>
      </c>
      <c r="I39" s="131">
        <f t="shared" si="1"/>
        <v>1</v>
      </c>
      <c r="J39" s="268"/>
    </row>
    <row r="40" spans="1:10" ht="45.75" thickBot="1" x14ac:dyDescent="0.3">
      <c r="A40" s="1"/>
      <c r="B40" s="1"/>
      <c r="C40" s="129">
        <v>22</v>
      </c>
      <c r="D40" s="284"/>
      <c r="E40" s="121" t="str">
        <f>+IFERROR(INDEX(Hoja1!$E$2:$E$45,MATCH('Análisis Resultados'!C40,Hoja1!$H$2:$H$45,0)),"")</f>
        <v>Solamente hasta que un organismo de control actúa se definen acciones de mejora.</v>
      </c>
      <c r="F40" s="122" t="str">
        <f>+IFERROR(VLOOKUP(C40,Hoja1!$H$2:$I$45,2,0),"")</f>
        <v>Si</v>
      </c>
      <c r="G40" s="123" t="str">
        <f t="shared" si="0"/>
        <v>Existe requerimiento pero se requiere actividades  dirigidas a su mantenimiento dentro del marco de las lineas de defensa.</v>
      </c>
      <c r="I40" s="133">
        <f t="shared" si="1"/>
        <v>1</v>
      </c>
      <c r="J40" s="268"/>
    </row>
    <row r="41" spans="1:10" ht="87.75" customHeight="1" x14ac:dyDescent="0.25">
      <c r="A41" s="1"/>
      <c r="B41" s="1"/>
      <c r="C41" s="129">
        <v>23</v>
      </c>
      <c r="D41" s="279" t="s">
        <v>78</v>
      </c>
      <c r="E41" s="112" t="str">
        <f>+IFERROR(INDEX(Hoja1!$E$2:$E$45,MATCH('Análisis Resultados'!C41,Hoja1!$H$2:$H$45,0)),"")</f>
        <v>La definición de acciones o actividades para para dar tratamiento a los problemas identificados (mitigación de riesgos), incluyendo aquellos asociados a posibles actos de corrupción</v>
      </c>
      <c r="F41" s="113" t="str">
        <f>+IFERROR(VLOOKUP(C41,Hoja1!$H$2:$I$45,2,0),"")</f>
        <v>Si</v>
      </c>
      <c r="G41" s="114" t="str">
        <f t="shared" si="0"/>
        <v>Existe requerimiento pero se requiere actividades  dirigidas a su mantenimiento dentro del marco de las lineas de defensa.</v>
      </c>
      <c r="I41" s="130">
        <f t="shared" si="1"/>
        <v>1</v>
      </c>
      <c r="J41" s="267">
        <f>+AVERAGE(I41:I45)</f>
        <v>1</v>
      </c>
    </row>
    <row r="42" spans="1:10" ht="57" x14ac:dyDescent="0.25">
      <c r="A42" s="1"/>
      <c r="B42" s="1"/>
      <c r="C42" s="129">
        <v>24</v>
      </c>
      <c r="D42" s="280"/>
      <c r="E42" s="115" t="str">
        <f>+IFERROR(INDEX(Hoja1!$E$2:$E$45,MATCH('Análisis Resultados'!C42,Hoja1!$H$2:$H$45,0)),"")</f>
        <v>Mecanismos de verificación de si se están o no mitigando los riesgos, o en su defecto, elaboración de planes de contingencia para subsanar sus consecuencias</v>
      </c>
      <c r="F42" s="116" t="str">
        <f>+IFERROR(VLOOKUP(C42,Hoja1!$H$2:$I$45,2,0),"")</f>
        <v>Si</v>
      </c>
      <c r="G42" s="117" t="str">
        <f t="shared" si="0"/>
        <v>Existe requerimiento pero se requiere actividades  dirigidas a su mantenimiento dentro del marco de las lineas de defensa.</v>
      </c>
      <c r="I42" s="131">
        <f t="shared" si="1"/>
        <v>1</v>
      </c>
      <c r="J42" s="268"/>
    </row>
    <row r="43" spans="1:10" ht="85.5" customHeight="1" x14ac:dyDescent="0.25">
      <c r="A43" s="1"/>
      <c r="B43" s="1"/>
      <c r="C43" s="129">
        <v>25</v>
      </c>
      <c r="D43" s="280"/>
      <c r="E43" s="115" t="str">
        <f>+IFERROR(INDEX(Hoja1!$E$2:$E$45,MATCH('Análisis Resultados'!C43,Hoja1!$H$2:$H$45,0)),"")</f>
        <v>Planes, acciones o estrategias que permitan subsanar las consecuencias de la materialización de los riesgos, cuando se presentan</v>
      </c>
      <c r="F43" s="116" t="str">
        <f>+IFERROR(VLOOKUP(C43,Hoja1!$H$2:$I$45,2,0),"")</f>
        <v>Si</v>
      </c>
      <c r="G43" s="117" t="str">
        <f t="shared" si="0"/>
        <v>Existe requerimiento pero se requiere actividades  dirigidas a su mantenimiento dentro del marco de las lineas de defensa.</v>
      </c>
      <c r="I43" s="131">
        <f t="shared" si="1"/>
        <v>1</v>
      </c>
      <c r="J43" s="268"/>
    </row>
    <row r="44" spans="1:10" ht="57" customHeight="1" x14ac:dyDescent="0.25">
      <c r="A44" s="1"/>
      <c r="B44" s="1"/>
      <c r="C44" s="129">
        <v>26</v>
      </c>
      <c r="D44" s="280"/>
      <c r="E44" s="115" t="str">
        <f>+IFERROR(INDEX(Hoja1!$E$2:$E$45,MATCH('Análisis Resultados'!C44,Hoja1!$H$2:$H$45,0)),"")</f>
        <v>Un documento que consolide  los riesgos  y el tratamiento que se les da, incluyendo aquellos que conllevan posibles actos de corrupción y si la capacidad e infraestructura lo permite, los asociados con las tecnologías de la información y las comunicaciones</v>
      </c>
      <c r="F44" s="116" t="str">
        <f>+IFERROR(VLOOKUP(C44,Hoja1!$H$2:$I$45,2,0),"")</f>
        <v>Si</v>
      </c>
      <c r="G44" s="117" t="str">
        <f t="shared" si="0"/>
        <v>Existe requerimiento pero se requiere actividades  dirigidas a su mantenimiento dentro del marco de las lineas de defensa.</v>
      </c>
      <c r="I44" s="131">
        <f t="shared" si="1"/>
        <v>1</v>
      </c>
      <c r="J44" s="268"/>
    </row>
    <row r="45" spans="1:10" ht="57" customHeight="1" thickBot="1" x14ac:dyDescent="0.3">
      <c r="A45" s="1"/>
      <c r="B45" s="1"/>
      <c r="C45" s="129">
        <v>27</v>
      </c>
      <c r="D45" s="281"/>
      <c r="E45" s="118" t="str">
        <f>+IFERROR(INDEX(Hoja1!$E$2:$E$45,MATCH('Análisis Resultados'!C45,Hoja1!$H$2:$H$45,0)),"")</f>
        <v>Un plan anticorrupción y de servicio al ciudadano con los temas que le aplican, publicado en algún medio para conocimiento de la ciudadanía</v>
      </c>
      <c r="F45" s="119" t="str">
        <f>+IFERROR(VLOOKUP(C45,Hoja1!$H$2:$I$45,2,0),"")</f>
        <v>Si</v>
      </c>
      <c r="G45" s="120" t="str">
        <f t="shared" si="0"/>
        <v>Existe requerimiento pero se requiere actividades  dirigidas a su mantenimiento dentro del marco de las lineas de defensa.</v>
      </c>
      <c r="I45" s="132">
        <f t="shared" si="1"/>
        <v>1</v>
      </c>
      <c r="J45" s="282"/>
    </row>
    <row r="46" spans="1:10" ht="63.75" customHeight="1" x14ac:dyDescent="0.25">
      <c r="A46" s="1"/>
      <c r="B46" s="1"/>
      <c r="C46" s="129">
        <v>28</v>
      </c>
      <c r="D46" s="278" t="s">
        <v>86</v>
      </c>
      <c r="E46" s="124" t="str">
        <f>+IFERROR(INDEX(Hoja1!$E$2:$E$45,MATCH('Análisis Resultados'!C46,Hoja1!$H$2:$H$45,0)),"")</f>
        <v>Identificación de información necesaria para la operación de la entidad (normograma, presupuesto, talento humano, infraestructura física y tecnológica)</v>
      </c>
      <c r="F46" s="125" t="str">
        <f>+IFERROR(VLOOKUP(C46,Hoja1!$H$2:$I$45,2,0),"")</f>
        <v>En proceso</v>
      </c>
      <c r="G46" s="126" t="str">
        <f t="shared" si="0"/>
        <v>Se encuentra en proceso, pero requiere continuar con acciones dirigidas a contar con dicho aspecto de control.</v>
      </c>
      <c r="I46" s="134">
        <f t="shared" si="1"/>
        <v>0.5</v>
      </c>
      <c r="J46" s="268">
        <f>+AVERAGE(I46:I52)</f>
        <v>0.9285714285714286</v>
      </c>
    </row>
    <row r="47" spans="1:10" ht="92.25" customHeight="1" x14ac:dyDescent="0.25">
      <c r="A47" s="1"/>
      <c r="B47" s="1"/>
      <c r="C47" s="129">
        <v>29</v>
      </c>
      <c r="D47" s="278"/>
      <c r="E47" s="115" t="str">
        <f>+IFERROR(INDEX(Hoja1!$E$2:$E$45,MATCH('Análisis Resultados'!C47,Hoja1!$H$2:$H$45,0)),"")</f>
        <v>Responsables de la información institucional</v>
      </c>
      <c r="F47" s="116" t="str">
        <f>+IFERROR(VLOOKUP(C47,Hoja1!$H$2:$I$45,2,0),"")</f>
        <v>Si</v>
      </c>
      <c r="G47" s="127" t="str">
        <f t="shared" si="0"/>
        <v>Existe requerimiento pero se requiere actividades  dirigidas a su mantenimiento dentro del marco de las lineas de defensa.</v>
      </c>
      <c r="I47" s="135">
        <f t="shared" si="1"/>
        <v>1</v>
      </c>
      <c r="J47" s="268"/>
    </row>
    <row r="48" spans="1:10" ht="66.75" customHeight="1" x14ac:dyDescent="0.25">
      <c r="A48" s="1"/>
      <c r="B48" s="1"/>
      <c r="C48" s="129">
        <v>30</v>
      </c>
      <c r="D48" s="278"/>
      <c r="E48" s="115" t="str">
        <f>+IFERROR(INDEX(Hoja1!$E$2:$E$45,MATCH('Análisis Resultados'!C48,Hoja1!$H$2:$H$45,0)),"")</f>
        <v>Canales de comunicación con los ciudadanos</v>
      </c>
      <c r="F48" s="116" t="str">
        <f>+IFERROR(VLOOKUP(C48,Hoja1!$H$2:$I$45,2,0),"")</f>
        <v>Si</v>
      </c>
      <c r="G48" s="127" t="str">
        <f t="shared" si="0"/>
        <v>Existe requerimiento pero se requiere actividades  dirigidas a su mantenimiento dentro del marco de las lineas de defensa.</v>
      </c>
      <c r="I48" s="135">
        <f t="shared" si="1"/>
        <v>1</v>
      </c>
      <c r="J48" s="268"/>
    </row>
    <row r="49" spans="1:10" ht="60" customHeight="1" x14ac:dyDescent="0.25">
      <c r="A49" s="1"/>
      <c r="B49" s="1"/>
      <c r="C49" s="129">
        <v>31</v>
      </c>
      <c r="D49" s="278"/>
      <c r="E49" s="115" t="str">
        <f>+IFERROR(INDEX(Hoja1!$E$2:$E$45,MATCH('Análisis Resultados'!C49,Hoja1!$H$2:$H$45,0)),"")</f>
        <v>Canales de comunicación o mecanismos de reporte de información a otros organismos gubernamentales o de control</v>
      </c>
      <c r="F49" s="116" t="str">
        <f>+IFERROR(VLOOKUP(C49,Hoja1!$H$2:$I$45,2,0),"")</f>
        <v>Si</v>
      </c>
      <c r="G49" s="127" t="str">
        <f t="shared" si="0"/>
        <v>Existe requerimiento pero se requiere actividades  dirigidas a su mantenimiento dentro del marco de las lineas de defensa.</v>
      </c>
      <c r="I49" s="135">
        <f t="shared" si="1"/>
        <v>1</v>
      </c>
      <c r="J49" s="268"/>
    </row>
    <row r="50" spans="1:10" ht="57" customHeight="1" x14ac:dyDescent="0.25">
      <c r="A50" s="1"/>
      <c r="B50" s="1"/>
      <c r="C50" s="129">
        <v>32</v>
      </c>
      <c r="D50" s="278"/>
      <c r="E50" s="115" t="str">
        <f>+IFERROR(INDEX(Hoja1!$E$2:$E$45,MATCH('Análisis Resultados'!C50,Hoja1!$H$2:$H$45,0)),"")</f>
        <v xml:space="preserve">Lineamientos para dar tratamiento a la información de carácter reservado </v>
      </c>
      <c r="F50" s="116" t="str">
        <f>+IFERROR(VLOOKUP(C50,Hoja1!$H$2:$I$45,2,0),"")</f>
        <v>Si</v>
      </c>
      <c r="G50" s="127" t="str">
        <f t="shared" si="0"/>
        <v>Existe requerimiento pero se requiere actividades  dirigidas a su mantenimiento dentro del marco de las lineas de defensa.</v>
      </c>
      <c r="I50" s="135">
        <f t="shared" si="1"/>
        <v>1</v>
      </c>
      <c r="J50" s="268"/>
    </row>
    <row r="51" spans="1:10" ht="57" customHeight="1" x14ac:dyDescent="0.25">
      <c r="A51" s="1"/>
      <c r="B51" s="1"/>
      <c r="C51" s="129">
        <v>33</v>
      </c>
      <c r="D51" s="278"/>
      <c r="E51" s="115" t="str">
        <f>+IFERROR(INDEX(Hoja1!$E$2:$E$45,MATCH('Análisis Resultados'!C51,Hoja1!$H$2:$H$45,0)),"")</f>
        <v>Identificación de información que produce en el marco de su gestión (Para los ciudadanos, organismos de control, organismos gubernamentales, entre otros)</v>
      </c>
      <c r="F51" s="116" t="str">
        <f>+IFERROR(VLOOKUP(C51,Hoja1!$H$2:$I$45,2,0),"")</f>
        <v>Si</v>
      </c>
      <c r="G51" s="127" t="str">
        <f t="shared" si="0"/>
        <v>Existe requerimiento pero se requiere actividades  dirigidas a su mantenimiento dentro del marco de las lineas de defensa.</v>
      </c>
      <c r="I51" s="135">
        <f t="shared" si="1"/>
        <v>1</v>
      </c>
      <c r="J51" s="268"/>
    </row>
    <row r="52" spans="1:10" ht="45.75" thickBot="1" x14ac:dyDescent="0.3">
      <c r="A52" s="1"/>
      <c r="B52" s="1"/>
      <c r="C52" s="129">
        <v>34</v>
      </c>
      <c r="D52" s="278"/>
      <c r="E52" s="121" t="str">
        <f>+IFERROR(INDEX(Hoja1!$E$2:$E$45,MATCH('Análisis Resultados'!C52,Hoja1!$H$2:$H$45,0)),"")</f>
        <v>Si su capacidad e infraestructura lo permite, tecnologías de la información y las comunicaciones que soporten estos procesos</v>
      </c>
      <c r="F52" s="122" t="str">
        <f>+IFERROR(VLOOKUP(C52,Hoja1!$H$2:$I$45,2,0),"")</f>
        <v>Si</v>
      </c>
      <c r="G52" s="128" t="str">
        <f t="shared" si="0"/>
        <v>Existe requerimiento pero se requiere actividades  dirigidas a su mantenimiento dentro del marco de las lineas de defensa.</v>
      </c>
      <c r="I52" s="136">
        <f t="shared" si="1"/>
        <v>1</v>
      </c>
      <c r="J52" s="268"/>
    </row>
    <row r="53" spans="1:10" ht="41.25" customHeight="1" x14ac:dyDescent="0.25">
      <c r="A53" s="1"/>
      <c r="B53" s="1"/>
      <c r="C53" s="129">
        <v>35</v>
      </c>
      <c r="D53" s="272" t="s">
        <v>96</v>
      </c>
      <c r="E53" s="112" t="str">
        <f>+IFERROR(INDEX(Hoja1!$E$2:$E$45,MATCH('Análisis Resultados'!C53,Hoja1!$H$2:$H$45,0)),"")</f>
        <v>Mecanismos de evaluación de la gestión (cronogramas, indicadores, listas de chequeo u otros)</v>
      </c>
      <c r="F53" s="113" t="str">
        <f>+IFERROR(VLOOKUP(C53,Hoja1!$H$2:$I$45,2,0),"")</f>
        <v>Si</v>
      </c>
      <c r="G53" s="114" t="str">
        <f t="shared" si="0"/>
        <v>Existe requerimiento pero se requiere actividades  dirigidas a su mantenimiento dentro del marco de las lineas de defensa.</v>
      </c>
      <c r="I53" s="130">
        <f t="shared" si="1"/>
        <v>1</v>
      </c>
      <c r="J53" s="275">
        <f>+AVERAGE(I53:I62)</f>
        <v>1</v>
      </c>
    </row>
    <row r="54" spans="1:10" ht="58.5" customHeight="1" x14ac:dyDescent="0.25">
      <c r="A54" s="1"/>
      <c r="B54" s="1"/>
      <c r="C54" s="129">
        <v>36</v>
      </c>
      <c r="D54" s="273"/>
      <c r="E54" s="115" t="str">
        <f>+IFERROR(INDEX(Hoja1!$E$2:$E$45,MATCH('Análisis Resultados'!C54,Hoja1!$H$2:$H$45,0)),"")</f>
        <v>Algún mecanismo para monitorear o supervisar el sistema de control interno institucional, ya sea por parte del representante legal, o del área de control interno (si la entidad cuenta con ella), o bien a través del Comité departamental o municipal de Auditoría.</v>
      </c>
      <c r="F54" s="116" t="str">
        <f>+IFERROR(VLOOKUP(C54,Hoja1!$H$2:$I$45,2,0),"")</f>
        <v>Si</v>
      </c>
      <c r="G54" s="117" t="str">
        <f t="shared" si="0"/>
        <v>Existe requerimiento pero se requiere actividades  dirigidas a su mantenimiento dentro del marco de las lineas de defensa.</v>
      </c>
      <c r="I54" s="131">
        <f t="shared" si="1"/>
        <v>1</v>
      </c>
      <c r="J54" s="276"/>
    </row>
    <row r="55" spans="1:10" s="1" customFormat="1" ht="84.75" customHeight="1" x14ac:dyDescent="0.25">
      <c r="C55" s="129">
        <v>37</v>
      </c>
      <c r="D55" s="273"/>
      <c r="E55" s="115" t="str">
        <f>+IFERROR(INDEX(Hoja1!$E$2:$E$45,MATCH('Análisis Resultados'!C55,Hoja1!$H$2:$H$45,0)),"")</f>
        <v>Medidas correctivas en caso de detectarse deficiencias en los ejercicios de evaluación, seguimiento o auditoría</v>
      </c>
      <c r="F55" s="116" t="str">
        <f>+IFERROR(VLOOKUP(C55,Hoja1!$H$2:$I$45,2,0),"")</f>
        <v>Si</v>
      </c>
      <c r="G55" s="117" t="str">
        <f t="shared" si="0"/>
        <v>Existe requerimiento pero se requiere actividades  dirigidas a su mantenimiento dentro del marco de las lineas de defensa.</v>
      </c>
      <c r="I55" s="131">
        <f t="shared" si="1"/>
        <v>1</v>
      </c>
      <c r="J55" s="276"/>
    </row>
    <row r="56" spans="1:10" s="1" customFormat="1" ht="78.75" customHeight="1" x14ac:dyDescent="0.25">
      <c r="C56" s="129">
        <v>38</v>
      </c>
      <c r="D56" s="273"/>
      <c r="E56" s="115" t="str">
        <f>+IFERROR(INDEX(Hoja1!$E$2:$E$45,MATCH('Análisis Resultados'!C56,Hoja1!$H$2:$H$45,0)),"")</f>
        <v>Seguimiento a los planes de mejoramiento suscritos con instancias de control internas o externas</v>
      </c>
      <c r="F56" s="116" t="str">
        <f>+IFERROR(VLOOKUP(C56,Hoja1!$H$2:$I$45,2,0),"")</f>
        <v>Si</v>
      </c>
      <c r="G56" s="117" t="str">
        <f t="shared" si="0"/>
        <v>Existe requerimiento pero se requiere actividades  dirigidas a su mantenimiento dentro del marco de las lineas de defensa.</v>
      </c>
      <c r="I56" s="131">
        <f t="shared" si="1"/>
        <v>1</v>
      </c>
      <c r="J56" s="276"/>
    </row>
    <row r="57" spans="1:10" s="1" customFormat="1" ht="54.75" customHeight="1" x14ac:dyDescent="0.25">
      <c r="C57" s="129">
        <v>39</v>
      </c>
      <c r="D57" s="273"/>
      <c r="E57" s="115" t="str">
        <f>+IFERROR(INDEX(Hoja1!$E$2:$E$45,MATCH('Análisis Resultados'!C57,Hoja1!$H$2:$H$45,0)),"")</f>
        <v>La entidad participa en el  Comité Municipal de Auditoría?</v>
      </c>
      <c r="F57" s="116" t="str">
        <f>+IFERROR(VLOOKUP(C57,Hoja1!$H$2:$I$45,2,0),"")</f>
        <v>Si</v>
      </c>
      <c r="G57" s="117" t="str">
        <f t="shared" si="0"/>
        <v>Existe requerimiento pero se requiere actividades  dirigidas a su mantenimiento dentro del marco de las lineas de defensa.</v>
      </c>
      <c r="I57" s="131">
        <f t="shared" si="1"/>
        <v>1</v>
      </c>
      <c r="J57" s="276"/>
    </row>
    <row r="58" spans="1:10" s="1" customFormat="1" ht="68.25" customHeight="1" x14ac:dyDescent="0.25">
      <c r="C58" s="129">
        <v>40</v>
      </c>
      <c r="D58" s="273"/>
      <c r="E58" s="115" t="str">
        <f>+IFERROR(INDEX(Hoja1!$E$2:$E$45,MATCH('Análisis Resultados'!C58,Hoja1!$H$2:$H$45,0)),"")</f>
        <v>Evitar que los problemas (riesgos) obstaculicen el cumplimiento de los objetivos.</v>
      </c>
      <c r="F58" s="116" t="str">
        <f>+IFERROR(VLOOKUP(C58,Hoja1!$H$2:$I$45,2,0),"")</f>
        <v>Si</v>
      </c>
      <c r="G58" s="117" t="str">
        <f t="shared" si="0"/>
        <v>Existe requerimiento pero se requiere actividades  dirigidas a su mantenimiento dentro del marco de las lineas de defensa.</v>
      </c>
      <c r="I58" s="131">
        <f t="shared" si="1"/>
        <v>1</v>
      </c>
      <c r="J58" s="276"/>
    </row>
    <row r="59" spans="1:10" s="1" customFormat="1" ht="45" customHeight="1" x14ac:dyDescent="0.25">
      <c r="C59" s="129">
        <v>41</v>
      </c>
      <c r="D59" s="273"/>
      <c r="E59" s="115" t="str">
        <f>+IFERROR(INDEX(Hoja1!$E$2:$E$45,MATCH('Análisis Resultados'!C59,Hoja1!$H$2:$H$45,0)),"")</f>
        <v>Controlar los puntos críticos en los procesos.</v>
      </c>
      <c r="F59" s="116" t="str">
        <f>+IFERROR(VLOOKUP(C59,Hoja1!$H$2:$I$45,2,0),"")</f>
        <v>Si</v>
      </c>
      <c r="G59" s="117" t="str">
        <f t="shared" si="0"/>
        <v>Existe requerimiento pero se requiere actividades  dirigidas a su mantenimiento dentro del marco de las lineas de defensa.</v>
      </c>
      <c r="I59" s="131">
        <f t="shared" si="1"/>
        <v>1</v>
      </c>
      <c r="J59" s="276"/>
    </row>
    <row r="60" spans="1:10" s="1" customFormat="1" ht="51.75" customHeight="1" x14ac:dyDescent="0.25">
      <c r="C60" s="129">
        <v>42</v>
      </c>
      <c r="D60" s="273"/>
      <c r="E60" s="115" t="str">
        <f>+IFERROR(INDEX(Hoja1!$E$2:$E$45,MATCH('Análisis Resultados'!C60,Hoja1!$H$2:$H$45,0)),"")</f>
        <v>Diseñar acciones adecuadas para controlar los problemas que afectan el cumplimiento de las metas y objetivos institucionales (riesgos).</v>
      </c>
      <c r="F60" s="116" t="str">
        <f>+IFERROR(VLOOKUP(C60,Hoja1!$H$2:$I$45,2,0),"")</f>
        <v>Si</v>
      </c>
      <c r="G60" s="117" t="str">
        <f t="shared" si="0"/>
        <v>Existe requerimiento pero se requiere actividades  dirigidas a su mantenimiento dentro del marco de las lineas de defensa.</v>
      </c>
      <c r="I60" s="131">
        <f t="shared" si="1"/>
        <v>1</v>
      </c>
      <c r="J60" s="276"/>
    </row>
    <row r="61" spans="1:10" s="1" customFormat="1" ht="84" customHeight="1" x14ac:dyDescent="0.25">
      <c r="C61" s="129">
        <v>43</v>
      </c>
      <c r="D61" s="273"/>
      <c r="E61" s="115" t="str">
        <f>+IFERROR(INDEX(Hoja1!$E$2:$E$45,MATCH('Análisis Resultados'!C61,Hoja1!$H$2:$H$45,0)),"")</f>
        <v>Ejecutar las acciones de acuerdo a como se diseñaron previamente.</v>
      </c>
      <c r="F61" s="116" t="str">
        <f>+IFERROR(VLOOKUP(C61,Hoja1!$H$2:$I$45,2,0),"")</f>
        <v>Si</v>
      </c>
      <c r="G61" s="117" t="str">
        <f t="shared" si="0"/>
        <v>Existe requerimiento pero se requiere actividades  dirigidas a su mantenimiento dentro del marco de las lineas de defensa.</v>
      </c>
      <c r="I61" s="131">
        <f t="shared" si="1"/>
        <v>1</v>
      </c>
      <c r="J61" s="276"/>
    </row>
    <row r="62" spans="1:10" s="1" customFormat="1" ht="60" customHeight="1" thickBot="1" x14ac:dyDescent="0.3">
      <c r="C62" s="129">
        <v>44</v>
      </c>
      <c r="D62" s="274"/>
      <c r="E62" s="118" t="str">
        <f>+IFERROR(INDEX(Hoja1!$E$2:$E$45,MATCH('Análisis Resultados'!C62,Hoja1!$H$2:$H$45,0)),"")</f>
        <v>No se gestionan los problemas que afectan el cumplimiento de las funciones y objetivos institucionales(riesgos).</v>
      </c>
      <c r="F62" s="119" t="str">
        <f>+IFERROR(VLOOKUP(C62,Hoja1!$H$2:$I$45,2,0),"")</f>
        <v>Si</v>
      </c>
      <c r="G62" s="120" t="str">
        <f t="shared" si="0"/>
        <v>Existe requerimiento pero se requiere actividades  dirigidas a su mantenimiento dentro del marco de las lineas de defensa.</v>
      </c>
      <c r="I62" s="132">
        <f t="shared" si="1"/>
        <v>1</v>
      </c>
      <c r="J62" s="277"/>
    </row>
    <row r="63" spans="1:10" s="1" customFormat="1" x14ac:dyDescent="0.25"/>
    <row r="64" spans="1:10" s="1" customFormat="1" x14ac:dyDescent="0.25"/>
    <row r="65" spans="1:2" s="1" customFormat="1" x14ac:dyDescent="0.25"/>
    <row r="66" spans="1:2" s="1" customFormat="1" x14ac:dyDescent="0.25"/>
    <row r="67" spans="1:2" s="1" customFormat="1" x14ac:dyDescent="0.25"/>
    <row r="68" spans="1:2" s="1" customFormat="1" x14ac:dyDescent="0.25"/>
    <row r="69" spans="1:2" s="1" customFormat="1" x14ac:dyDescent="0.25"/>
    <row r="70" spans="1:2" s="1" customFormat="1" x14ac:dyDescent="0.25"/>
    <row r="71" spans="1:2" x14ac:dyDescent="0.25">
      <c r="A71" s="1"/>
      <c r="B71" s="1"/>
    </row>
    <row r="72" spans="1:2" x14ac:dyDescent="0.25">
      <c r="A72" s="1"/>
      <c r="B72" s="1"/>
    </row>
    <row r="73" spans="1:2" x14ac:dyDescent="0.25">
      <c r="A73" s="1"/>
      <c r="B73" s="1"/>
    </row>
    <row r="74" spans="1:2" x14ac:dyDescent="0.25">
      <c r="A74" s="1"/>
      <c r="B74" s="1"/>
    </row>
  </sheetData>
  <sheetProtection algorithmName="SHA-512" hashValue="2c/K7BVeA+JOjsvnu2HILGfEHHcx80UTyQTucJ5c70tus45UaD3gXdqjB7xLC6LydtmfT9VN5B07LstuhHP+UQ==" saltValue="5+Ylqwr6SZ9tvbSyY2m3gQ==" spinCount="100000" sheet="1" objects="1" scenarios="1" formatCells="0"/>
  <mergeCells count="25">
    <mergeCell ref="J31:J40"/>
    <mergeCell ref="C12:D12"/>
    <mergeCell ref="E12:F12"/>
    <mergeCell ref="J19:J30"/>
    <mergeCell ref="D53:D62"/>
    <mergeCell ref="J53:J62"/>
    <mergeCell ref="D46:D52"/>
    <mergeCell ref="J46:J52"/>
    <mergeCell ref="D41:D45"/>
    <mergeCell ref="J41:J45"/>
    <mergeCell ref="D31:D40"/>
    <mergeCell ref="C11:D11"/>
    <mergeCell ref="E11:F11"/>
    <mergeCell ref="J17:J18"/>
    <mergeCell ref="D19:D30"/>
    <mergeCell ref="C17:C18"/>
    <mergeCell ref="D17:E17"/>
    <mergeCell ref="F17:F18"/>
    <mergeCell ref="G17:G18"/>
    <mergeCell ref="I17:I18"/>
    <mergeCell ref="C7:K7"/>
    <mergeCell ref="C9:D9"/>
    <mergeCell ref="E9:F9"/>
    <mergeCell ref="C10:D10"/>
    <mergeCell ref="E10:F10"/>
  </mergeCells>
  <conditionalFormatting sqref="I19:I62">
    <cfRule type="cellIs" dxfId="16" priority="4" operator="between">
      <formula>0.75</formula>
      <formula>1</formula>
    </cfRule>
    <cfRule type="cellIs" dxfId="15" priority="5" operator="between">
      <formula>0.5</formula>
      <formula>0.74</formula>
    </cfRule>
    <cfRule type="cellIs" dxfId="14" priority="6" operator="between">
      <formula>0</formula>
      <formula>0.49</formula>
    </cfRule>
  </conditionalFormatting>
  <conditionalFormatting sqref="J19:J31 J41 J46 J53">
    <cfRule type="cellIs" priority="1" operator="between">
      <formula>0.75</formula>
      <formula>1</formula>
    </cfRule>
    <cfRule type="cellIs" dxfId="13" priority="2" operator="between">
      <formula>0.5</formula>
      <formula>0.75</formula>
    </cfRule>
    <cfRule type="cellIs" dxfId="12" priority="3" operator="between">
      <formula>0</formula>
      <formula>0.49</formula>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ontainsText" priority="7" operator="containsText" id="{B5EC0094-D2B5-49BB-B6F9-E988382E1263}">
            <xm:f>NOT(ISERROR(SEARCH($E$12,G19)))</xm:f>
            <xm:f>$E$12</xm:f>
            <x14:dxf>
              <fill>
                <patternFill>
                  <bgColor rgb="FFFF0000"/>
                </patternFill>
              </fill>
            </x14:dxf>
          </x14:cfRule>
          <x14:cfRule type="containsText" priority="8" operator="containsText" id="{D802A135-824D-43A0-835B-FE63514274DE}">
            <xm:f>NOT(ISERROR(SEARCH($E$11,G19)))</xm:f>
            <xm:f>$E$11</xm:f>
            <x14:dxf>
              <fill>
                <patternFill>
                  <bgColor rgb="FFFFFF00"/>
                </patternFill>
              </fill>
            </x14:dxf>
          </x14:cfRule>
          <x14:cfRule type="containsText" priority="9" operator="containsText" id="{D7844022-1CB2-4683-9B09-8D3EA8F0FDED}">
            <xm:f>NOT(ISERROR(SEARCH($E$10,G19)))</xm:f>
            <xm:f>$E$10</xm:f>
            <x14:dxf>
              <fill>
                <patternFill>
                  <bgColor rgb="FF00B050"/>
                </patternFill>
              </fill>
            </x14:dxf>
          </x14:cfRule>
          <xm:sqref>G19:G62</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Q41"/>
  <sheetViews>
    <sheetView tabSelected="1" topLeftCell="A5" zoomScale="64" zoomScaleNormal="64" workbookViewId="0">
      <selection activeCell="I32" sqref="I32:M32"/>
    </sheetView>
  </sheetViews>
  <sheetFormatPr baseColWidth="10" defaultColWidth="11.42578125" defaultRowHeight="15" x14ac:dyDescent="0.25"/>
  <cols>
    <col min="1" max="1" width="4.42578125" customWidth="1"/>
    <col min="3" max="3" width="35.5703125" customWidth="1"/>
    <col min="4" max="4" width="13" customWidth="1"/>
    <col min="5" max="5" width="43.28515625" customWidth="1"/>
    <col min="7" max="7" width="33.85546875" customWidth="1"/>
    <col min="9" max="9" width="92.28515625" customWidth="1"/>
    <col min="13" max="13" width="29" customWidth="1"/>
  </cols>
  <sheetData>
    <row r="1" spans="1:17" s="1" customFormat="1" x14ac:dyDescent="0.25"/>
    <row r="2" spans="1:17" ht="15.75" thickBot="1" x14ac:dyDescent="0.3">
      <c r="A2" s="1"/>
      <c r="B2" s="1"/>
      <c r="C2" s="1"/>
      <c r="D2" s="1"/>
      <c r="E2" s="1"/>
      <c r="F2" s="1"/>
      <c r="G2" s="1"/>
      <c r="H2" s="1"/>
      <c r="I2" s="1"/>
      <c r="J2" s="1"/>
      <c r="K2" s="1"/>
      <c r="L2" s="1"/>
      <c r="M2" s="1"/>
      <c r="N2" s="1"/>
      <c r="O2" s="1"/>
      <c r="P2" s="1"/>
      <c r="Q2" s="1"/>
    </row>
    <row r="3" spans="1:17" ht="15.75" thickTop="1" x14ac:dyDescent="0.25">
      <c r="A3" s="1"/>
      <c r="B3" s="2"/>
      <c r="C3" s="3"/>
      <c r="D3" s="3"/>
      <c r="E3" s="3"/>
      <c r="F3" s="3"/>
      <c r="G3" s="3"/>
      <c r="H3" s="3"/>
      <c r="I3" s="3"/>
      <c r="J3" s="3"/>
      <c r="K3" s="3"/>
      <c r="L3" s="3"/>
      <c r="M3" s="3"/>
      <c r="N3" s="3"/>
      <c r="O3" s="3"/>
      <c r="P3" s="4"/>
      <c r="Q3" s="1"/>
    </row>
    <row r="4" spans="1:17" ht="16.5" x14ac:dyDescent="0.3">
      <c r="A4" s="1"/>
      <c r="B4" s="5"/>
      <c r="C4" s="1"/>
      <c r="D4" s="1"/>
      <c r="E4" s="298" t="s">
        <v>123</v>
      </c>
      <c r="F4" s="300" t="s">
        <v>190</v>
      </c>
      <c r="G4" s="300"/>
      <c r="H4" s="300"/>
      <c r="I4" s="300"/>
      <c r="J4" s="300"/>
      <c r="K4" s="300"/>
      <c r="L4" s="300"/>
      <c r="M4" s="300"/>
      <c r="N4" s="6"/>
      <c r="O4" s="6"/>
      <c r="P4" s="7"/>
      <c r="Q4" s="1"/>
    </row>
    <row r="5" spans="1:17" ht="45.75" customHeight="1" x14ac:dyDescent="0.3">
      <c r="A5" s="1"/>
      <c r="B5" s="5"/>
      <c r="C5" s="1"/>
      <c r="D5" s="1"/>
      <c r="E5" s="299"/>
      <c r="F5" s="300"/>
      <c r="G5" s="300"/>
      <c r="H5" s="300"/>
      <c r="I5" s="300"/>
      <c r="J5" s="300"/>
      <c r="K5" s="300"/>
      <c r="L5" s="300"/>
      <c r="M5" s="300"/>
      <c r="N5" s="6"/>
      <c r="O5" s="6"/>
      <c r="P5" s="7"/>
      <c r="Q5" s="1"/>
    </row>
    <row r="6" spans="1:17" ht="66.75" customHeight="1" x14ac:dyDescent="0.3">
      <c r="A6" s="1"/>
      <c r="B6" s="5"/>
      <c r="C6" s="1"/>
      <c r="D6" s="1"/>
      <c r="E6" s="88" t="s">
        <v>124</v>
      </c>
      <c r="F6" s="301" t="s">
        <v>241</v>
      </c>
      <c r="G6" s="302"/>
      <c r="H6" s="302"/>
      <c r="I6" s="302"/>
      <c r="J6" s="302"/>
      <c r="K6" s="302"/>
      <c r="L6" s="302"/>
      <c r="M6" s="303"/>
      <c r="N6" s="8"/>
      <c r="O6" s="8"/>
      <c r="P6" s="7"/>
      <c r="Q6" s="1"/>
    </row>
    <row r="7" spans="1:17" ht="17.25" thickBot="1" x14ac:dyDescent="0.35">
      <c r="A7" s="1"/>
      <c r="B7" s="5"/>
      <c r="C7" s="1"/>
      <c r="D7" s="1"/>
      <c r="E7" s="9"/>
      <c r="F7" s="8"/>
      <c r="G7" s="8"/>
      <c r="H7" s="8"/>
      <c r="I7" s="8"/>
      <c r="J7" s="8"/>
      <c r="K7" s="8"/>
      <c r="L7" s="8"/>
      <c r="M7" s="1"/>
      <c r="N7" s="1"/>
      <c r="O7" s="1"/>
      <c r="P7" s="7"/>
      <c r="Q7" s="1"/>
    </row>
    <row r="8" spans="1:17" ht="97.5" customHeight="1" thickBot="1" x14ac:dyDescent="0.3">
      <c r="A8" s="1"/>
      <c r="B8" s="5"/>
      <c r="C8" s="1"/>
      <c r="D8" s="1"/>
      <c r="E8" s="1"/>
      <c r="F8" s="1"/>
      <c r="G8" s="1"/>
      <c r="H8" s="1"/>
      <c r="I8" s="304" t="s">
        <v>125</v>
      </c>
      <c r="J8" s="305"/>
      <c r="K8" s="306"/>
      <c r="L8" s="1"/>
      <c r="M8" s="137">
        <f>+AVERAGE(G26,G28,G30,G32,G34)</f>
        <v>0.92071428571428571</v>
      </c>
      <c r="N8" s="10"/>
      <c r="O8" s="10"/>
      <c r="P8" s="7"/>
      <c r="Q8" s="1"/>
    </row>
    <row r="9" spans="1:17" ht="15.75" x14ac:dyDescent="0.25">
      <c r="A9" s="1"/>
      <c r="B9" s="5"/>
      <c r="C9" s="1"/>
      <c r="D9" s="1"/>
      <c r="E9" s="1"/>
      <c r="F9" s="1"/>
      <c r="G9" s="1"/>
      <c r="H9" s="1"/>
      <c r="I9" s="1"/>
      <c r="J9" s="1"/>
      <c r="K9" s="1"/>
      <c r="L9" s="1"/>
      <c r="M9" s="11"/>
      <c r="N9" s="11"/>
      <c r="O9" s="11"/>
      <c r="P9" s="7"/>
      <c r="Q9" s="1"/>
    </row>
    <row r="10" spans="1:17" x14ac:dyDescent="0.25">
      <c r="A10" s="1"/>
      <c r="B10" s="5"/>
      <c r="C10" s="1"/>
      <c r="D10" s="1"/>
      <c r="E10" s="1"/>
      <c r="F10" s="1"/>
      <c r="G10" s="1"/>
      <c r="H10" s="1"/>
      <c r="I10" s="1"/>
      <c r="J10" s="1"/>
      <c r="K10" s="1"/>
      <c r="L10" s="1"/>
      <c r="M10" s="1"/>
      <c r="N10" s="1"/>
      <c r="O10" s="1"/>
      <c r="P10" s="7"/>
      <c r="Q10" s="1"/>
    </row>
    <row r="11" spans="1:17" x14ac:dyDescent="0.25">
      <c r="A11" s="1"/>
      <c r="B11" s="5"/>
      <c r="C11" s="1"/>
      <c r="D11" s="1"/>
      <c r="E11" s="1"/>
      <c r="F11" s="1"/>
      <c r="G11" s="1"/>
      <c r="H11" s="1"/>
      <c r="I11" s="1"/>
      <c r="J11" s="1"/>
      <c r="K11" s="1"/>
      <c r="L11" s="1"/>
      <c r="M11" s="1"/>
      <c r="N11" s="1"/>
      <c r="O11" s="1"/>
      <c r="P11" s="7"/>
      <c r="Q11" s="1"/>
    </row>
    <row r="12" spans="1:17" x14ac:dyDescent="0.25">
      <c r="A12" s="1"/>
      <c r="B12" s="5"/>
      <c r="C12" s="1"/>
      <c r="D12" s="1"/>
      <c r="E12" s="1"/>
      <c r="F12" s="1"/>
      <c r="G12" s="1"/>
      <c r="H12" s="1"/>
      <c r="I12" s="1"/>
      <c r="J12" s="1"/>
      <c r="K12" s="1"/>
      <c r="L12" s="1"/>
      <c r="M12" s="1"/>
      <c r="N12" s="1"/>
      <c r="O12" s="1"/>
      <c r="P12" s="7"/>
      <c r="Q12" s="1"/>
    </row>
    <row r="13" spans="1:17" x14ac:dyDescent="0.25">
      <c r="A13" s="1"/>
      <c r="B13" s="5"/>
      <c r="C13" s="1"/>
      <c r="D13" s="1"/>
      <c r="E13" s="1"/>
      <c r="F13" s="1"/>
      <c r="G13" s="1"/>
      <c r="H13" s="1"/>
      <c r="I13" s="1"/>
      <c r="J13" s="1"/>
      <c r="K13" s="1"/>
      <c r="L13" s="1"/>
      <c r="M13" s="1"/>
      <c r="N13" s="1"/>
      <c r="O13" s="1"/>
      <c r="P13" s="7"/>
      <c r="Q13" s="1"/>
    </row>
    <row r="14" spans="1:17" x14ac:dyDescent="0.25">
      <c r="A14" s="1"/>
      <c r="B14" s="5"/>
      <c r="C14" s="1"/>
      <c r="D14" s="1"/>
      <c r="E14" s="1"/>
      <c r="F14" s="1"/>
      <c r="G14" s="1"/>
      <c r="H14" s="1"/>
      <c r="I14" s="1"/>
      <c r="J14" s="1"/>
      <c r="K14" s="1"/>
      <c r="L14" s="1"/>
      <c r="M14" s="1"/>
      <c r="N14" s="1"/>
      <c r="O14" s="1"/>
      <c r="P14" s="7"/>
      <c r="Q14" s="1"/>
    </row>
    <row r="15" spans="1:17" x14ac:dyDescent="0.25">
      <c r="A15" s="1"/>
      <c r="B15" s="5"/>
      <c r="C15" s="1"/>
      <c r="D15" s="1"/>
      <c r="E15" s="1"/>
      <c r="F15" s="1"/>
      <c r="G15" s="1"/>
      <c r="H15" s="1"/>
      <c r="I15" s="1"/>
      <c r="J15" s="1"/>
      <c r="K15" s="1"/>
      <c r="L15" s="1"/>
      <c r="M15" s="1"/>
      <c r="N15" s="1"/>
      <c r="O15" s="1"/>
      <c r="P15" s="7"/>
      <c r="Q15" s="1"/>
    </row>
    <row r="16" spans="1:17" x14ac:dyDescent="0.25">
      <c r="A16" s="1"/>
      <c r="B16" s="5"/>
      <c r="C16" s="1"/>
      <c r="D16" s="1"/>
      <c r="E16" s="1"/>
      <c r="F16" s="1"/>
      <c r="G16" s="1"/>
      <c r="H16" s="1"/>
      <c r="I16" s="1"/>
      <c r="J16" s="1"/>
      <c r="K16" s="1"/>
      <c r="L16" s="1"/>
      <c r="M16" s="1"/>
      <c r="N16" s="1"/>
      <c r="O16" s="1"/>
      <c r="P16" s="7"/>
      <c r="Q16" s="1"/>
    </row>
    <row r="17" spans="1:17" x14ac:dyDescent="0.25">
      <c r="A17" s="1"/>
      <c r="B17" s="5"/>
      <c r="C17" s="1"/>
      <c r="D17" s="1"/>
      <c r="E17" s="1"/>
      <c r="F17" s="1"/>
      <c r="G17" s="1"/>
      <c r="H17" s="1"/>
      <c r="I17" s="1"/>
      <c r="J17" s="1"/>
      <c r="K17" s="1"/>
      <c r="L17" s="1"/>
      <c r="M17" s="1"/>
      <c r="N17" s="1"/>
      <c r="O17" s="1"/>
      <c r="P17" s="7"/>
      <c r="Q17" s="1"/>
    </row>
    <row r="18" spans="1:17" ht="23.25" x14ac:dyDescent="0.25">
      <c r="A18" s="1"/>
      <c r="B18" s="5"/>
      <c r="C18" s="307" t="s">
        <v>126</v>
      </c>
      <c r="D18" s="308"/>
      <c r="E18" s="308"/>
      <c r="F18" s="308"/>
      <c r="G18" s="308"/>
      <c r="H18" s="308"/>
      <c r="I18" s="308"/>
      <c r="J18" s="308"/>
      <c r="K18" s="308"/>
      <c r="L18" s="308"/>
      <c r="M18" s="309"/>
      <c r="N18" s="12"/>
      <c r="O18" s="12"/>
      <c r="P18" s="7"/>
      <c r="Q18" s="1"/>
    </row>
    <row r="19" spans="1:17" ht="16.5" thickBot="1" x14ac:dyDescent="0.3">
      <c r="A19" s="1"/>
      <c r="B19" s="5"/>
      <c r="C19" s="13"/>
      <c r="D19" s="13"/>
      <c r="E19" s="13"/>
      <c r="F19" s="13"/>
      <c r="G19" s="13"/>
      <c r="H19" s="13"/>
      <c r="I19" s="13"/>
      <c r="J19" s="13"/>
      <c r="K19" s="13"/>
      <c r="L19" s="13"/>
      <c r="M19" s="13"/>
      <c r="N19" s="14"/>
      <c r="O19" s="14"/>
      <c r="P19" s="7"/>
      <c r="Q19" s="1"/>
    </row>
    <row r="20" spans="1:17" ht="150" customHeight="1" x14ac:dyDescent="0.25">
      <c r="A20" s="1"/>
      <c r="B20" s="5"/>
      <c r="C20" s="310" t="s">
        <v>127</v>
      </c>
      <c r="D20" s="311"/>
      <c r="E20" s="140" t="s">
        <v>38</v>
      </c>
      <c r="F20" s="312" t="s">
        <v>238</v>
      </c>
      <c r="G20" s="312"/>
      <c r="H20" s="312"/>
      <c r="I20" s="312"/>
      <c r="J20" s="312"/>
      <c r="K20" s="312"/>
      <c r="L20" s="312"/>
      <c r="M20" s="313"/>
      <c r="N20" s="14"/>
      <c r="O20" s="14"/>
      <c r="P20" s="7"/>
      <c r="Q20" s="1"/>
    </row>
    <row r="21" spans="1:17" ht="126.75" customHeight="1" x14ac:dyDescent="0.25">
      <c r="A21" s="1"/>
      <c r="B21" s="5"/>
      <c r="C21" s="294" t="s">
        <v>128</v>
      </c>
      <c r="D21" s="295"/>
      <c r="E21" s="141" t="s">
        <v>38</v>
      </c>
      <c r="F21" s="314" t="s">
        <v>239</v>
      </c>
      <c r="G21" s="314"/>
      <c r="H21" s="314"/>
      <c r="I21" s="314"/>
      <c r="J21" s="314"/>
      <c r="K21" s="314"/>
      <c r="L21" s="314"/>
      <c r="M21" s="315"/>
      <c r="N21" s="14"/>
      <c r="O21" s="14"/>
      <c r="P21" s="7"/>
      <c r="Q21" s="1"/>
    </row>
    <row r="22" spans="1:17" ht="151.5" customHeight="1" thickBot="1" x14ac:dyDescent="0.3">
      <c r="A22" s="1"/>
      <c r="B22" s="5"/>
      <c r="C22" s="296" t="s">
        <v>129</v>
      </c>
      <c r="D22" s="297"/>
      <c r="E22" s="142" t="s">
        <v>38</v>
      </c>
      <c r="F22" s="316" t="s">
        <v>240</v>
      </c>
      <c r="G22" s="316"/>
      <c r="H22" s="316"/>
      <c r="I22" s="316"/>
      <c r="J22" s="316"/>
      <c r="K22" s="316"/>
      <c r="L22" s="316"/>
      <c r="M22" s="317"/>
      <c r="N22" s="14"/>
      <c r="O22" s="14"/>
      <c r="P22" s="7"/>
      <c r="Q22" s="1"/>
    </row>
    <row r="23" spans="1:17" x14ac:dyDescent="0.25">
      <c r="A23" s="1"/>
      <c r="B23" s="5"/>
      <c r="C23" s="1"/>
      <c r="D23" s="1"/>
      <c r="E23" s="1"/>
      <c r="F23" s="1"/>
      <c r="G23" s="15"/>
      <c r="H23" s="1"/>
      <c r="I23" s="1"/>
      <c r="J23" s="1"/>
      <c r="K23" s="1"/>
      <c r="L23" s="1"/>
      <c r="M23" s="1"/>
      <c r="N23" s="1"/>
      <c r="O23" s="1"/>
      <c r="P23" s="7"/>
      <c r="Q23" s="1"/>
    </row>
    <row r="24" spans="1:17" ht="78.75" x14ac:dyDescent="0.25">
      <c r="A24" s="1"/>
      <c r="B24" s="5"/>
      <c r="C24" s="91" t="s">
        <v>130</v>
      </c>
      <c r="D24" s="92"/>
      <c r="E24" s="91" t="s">
        <v>131</v>
      </c>
      <c r="F24" s="92"/>
      <c r="G24" s="91" t="s">
        <v>132</v>
      </c>
      <c r="H24" s="92"/>
      <c r="I24" s="288" t="s">
        <v>133</v>
      </c>
      <c r="J24" s="288"/>
      <c r="K24" s="288"/>
      <c r="L24" s="288"/>
      <c r="M24" s="288"/>
      <c r="N24" s="30"/>
      <c r="O24" s="30"/>
      <c r="P24" s="7"/>
      <c r="Q24" s="16"/>
    </row>
    <row r="25" spans="1:17" ht="13.5" customHeight="1" thickBot="1" x14ac:dyDescent="0.3">
      <c r="A25" s="1"/>
      <c r="B25" s="5"/>
      <c r="C25" s="29"/>
      <c r="I25" s="292"/>
      <c r="J25" s="292"/>
      <c r="K25" s="292"/>
      <c r="L25" s="292"/>
      <c r="M25" s="292"/>
      <c r="N25" s="31"/>
      <c r="O25" s="31"/>
      <c r="P25" s="7"/>
      <c r="Q25" s="1"/>
    </row>
    <row r="26" spans="1:17" ht="155.25" customHeight="1" thickBot="1" x14ac:dyDescent="0.3">
      <c r="A26" s="1"/>
      <c r="B26" s="5"/>
      <c r="C26" s="82" t="s">
        <v>32</v>
      </c>
      <c r="D26" s="17"/>
      <c r="E26" s="138" t="str">
        <f>+IF(Hoja1!K2&gt;=0.5,"Si","No")</f>
        <v>Si</v>
      </c>
      <c r="F26" s="18"/>
      <c r="G26" s="139">
        <f>+Hoja1!K2</f>
        <v>0.875</v>
      </c>
      <c r="H26" s="18"/>
      <c r="I26" s="289" t="s">
        <v>234</v>
      </c>
      <c r="J26" s="290"/>
      <c r="K26" s="290"/>
      <c r="L26" s="290"/>
      <c r="M26" s="291"/>
      <c r="N26" s="32"/>
      <c r="O26" s="33"/>
      <c r="P26" s="19"/>
      <c r="Q26" s="20"/>
    </row>
    <row r="27" spans="1:17" ht="27" thickBot="1" x14ac:dyDescent="0.45">
      <c r="A27" s="1"/>
      <c r="B27" s="5"/>
      <c r="C27" s="83"/>
      <c r="E27" s="90"/>
      <c r="G27" s="21"/>
      <c r="I27" s="293"/>
      <c r="J27" s="293"/>
      <c r="K27" s="293"/>
      <c r="L27" s="293"/>
      <c r="M27" s="293"/>
      <c r="N27" s="34"/>
      <c r="O27" s="34"/>
      <c r="P27" s="7"/>
      <c r="Q27" s="1"/>
    </row>
    <row r="28" spans="1:17" ht="189" customHeight="1" thickBot="1" x14ac:dyDescent="0.3">
      <c r="A28" s="1"/>
      <c r="B28" s="5"/>
      <c r="C28" s="84" t="s">
        <v>134</v>
      </c>
      <c r="D28" s="17"/>
      <c r="E28" s="138" t="str">
        <f>+IF(Hoja1!K14&gt;=0.5,"Si","No")</f>
        <v>Si</v>
      </c>
      <c r="G28" s="139">
        <f>+Hoja1!K14</f>
        <v>0.8</v>
      </c>
      <c r="I28" s="285" t="s">
        <v>235</v>
      </c>
      <c r="J28" s="286"/>
      <c r="K28" s="286"/>
      <c r="L28" s="286"/>
      <c r="M28" s="287"/>
      <c r="N28" s="32"/>
      <c r="O28" s="32"/>
      <c r="P28" s="7"/>
      <c r="Q28" s="1"/>
    </row>
    <row r="29" spans="1:17" ht="27" thickBot="1" x14ac:dyDescent="0.45">
      <c r="A29" s="1"/>
      <c r="B29" s="5"/>
      <c r="C29" s="83"/>
      <c r="E29" s="90"/>
      <c r="G29" s="21"/>
      <c r="I29" s="293"/>
      <c r="J29" s="293"/>
      <c r="K29" s="293"/>
      <c r="L29" s="293"/>
      <c r="M29" s="293"/>
      <c r="N29" s="34"/>
      <c r="O29" s="34"/>
      <c r="P29" s="7"/>
      <c r="Q29" s="1"/>
    </row>
    <row r="30" spans="1:17" ht="123" customHeight="1" thickBot="1" x14ac:dyDescent="0.3">
      <c r="A30" s="1"/>
      <c r="B30" s="5"/>
      <c r="C30" s="85" t="s">
        <v>135</v>
      </c>
      <c r="D30" s="17"/>
      <c r="E30" s="138" t="str">
        <f>+IF(Hoja1!K24&gt;=0.5,"Si","No")</f>
        <v>Si</v>
      </c>
      <c r="G30" s="139">
        <f>+Hoja1!K24</f>
        <v>1</v>
      </c>
      <c r="I30" s="285" t="s">
        <v>236</v>
      </c>
      <c r="J30" s="286"/>
      <c r="K30" s="286"/>
      <c r="L30" s="286"/>
      <c r="M30" s="287"/>
      <c r="N30" s="32"/>
      <c r="O30" s="32"/>
      <c r="P30" s="7"/>
      <c r="Q30" s="1"/>
    </row>
    <row r="31" spans="1:17" ht="27" thickBot="1" x14ac:dyDescent="0.45">
      <c r="A31" s="1"/>
      <c r="B31" s="5"/>
      <c r="C31" s="83"/>
      <c r="E31" s="90"/>
      <c r="G31" s="21"/>
      <c r="I31" s="293"/>
      <c r="J31" s="293"/>
      <c r="K31" s="293"/>
      <c r="L31" s="293"/>
      <c r="M31" s="293"/>
      <c r="N31" s="34"/>
      <c r="O31" s="34"/>
      <c r="P31" s="7"/>
      <c r="Q31" s="1"/>
    </row>
    <row r="32" spans="1:17" ht="171" customHeight="1" thickBot="1" x14ac:dyDescent="0.3">
      <c r="A32" s="1"/>
      <c r="B32" s="5"/>
      <c r="C32" s="86" t="s">
        <v>86</v>
      </c>
      <c r="D32" s="17"/>
      <c r="E32" s="138" t="str">
        <f>+IF(Hoja1!K29&gt;=0.5,"Si","No")</f>
        <v>Si</v>
      </c>
      <c r="G32" s="139">
        <f>+Hoja1!K29</f>
        <v>0.9285714285714286</v>
      </c>
      <c r="I32" s="285" t="s">
        <v>243</v>
      </c>
      <c r="J32" s="286"/>
      <c r="K32" s="286"/>
      <c r="L32" s="286"/>
      <c r="M32" s="287"/>
      <c r="N32" s="32"/>
      <c r="O32" s="32"/>
      <c r="P32" s="7"/>
      <c r="Q32" s="1"/>
    </row>
    <row r="33" spans="1:17" ht="27" thickBot="1" x14ac:dyDescent="0.45">
      <c r="A33" s="1"/>
      <c r="B33" s="5"/>
      <c r="C33" s="83"/>
      <c r="E33" s="90"/>
      <c r="G33" s="21"/>
      <c r="I33" s="293"/>
      <c r="J33" s="293"/>
      <c r="K33" s="293"/>
      <c r="L33" s="293"/>
      <c r="M33" s="293"/>
      <c r="N33" s="34"/>
      <c r="O33" s="34"/>
      <c r="P33" s="7"/>
      <c r="Q33" s="1"/>
    </row>
    <row r="34" spans="1:17" ht="164.25" customHeight="1" thickBot="1" x14ac:dyDescent="0.3">
      <c r="A34" s="1"/>
      <c r="B34" s="5"/>
      <c r="C34" s="87" t="s">
        <v>136</v>
      </c>
      <c r="D34" s="17"/>
      <c r="E34" s="89" t="str">
        <f>+IF(Hoja1!K36&gt;=0.5,"Si","No")</f>
        <v>Si</v>
      </c>
      <c r="G34" s="139">
        <f>+Hoja1!K36</f>
        <v>1</v>
      </c>
      <c r="I34" s="285" t="s">
        <v>237</v>
      </c>
      <c r="J34" s="286"/>
      <c r="K34" s="286"/>
      <c r="L34" s="286"/>
      <c r="M34" s="287"/>
      <c r="N34" s="32"/>
      <c r="O34" s="32"/>
      <c r="P34" s="7"/>
      <c r="Q34" s="1"/>
    </row>
    <row r="35" spans="1:17" ht="15.75" x14ac:dyDescent="0.25">
      <c r="A35" s="1"/>
      <c r="B35" s="5"/>
      <c r="C35" s="22"/>
      <c r="D35" s="22"/>
      <c r="E35" s="14"/>
      <c r="F35" s="1"/>
      <c r="G35" s="1"/>
      <c r="H35" s="1"/>
      <c r="I35" s="1"/>
      <c r="J35" s="1"/>
      <c r="K35" s="1"/>
      <c r="L35" s="1"/>
      <c r="M35" s="23"/>
      <c r="N35" s="23"/>
      <c r="O35" s="23"/>
      <c r="P35" s="7"/>
      <c r="Q35" s="1"/>
    </row>
    <row r="36" spans="1:17" ht="15.75" x14ac:dyDescent="0.25">
      <c r="A36" s="1"/>
      <c r="B36" s="5"/>
      <c r="C36" s="24"/>
      <c r="D36" s="22"/>
      <c r="E36" s="14"/>
      <c r="F36" s="1"/>
      <c r="G36" s="1"/>
      <c r="H36" s="1"/>
      <c r="I36" s="1"/>
      <c r="J36" s="1"/>
      <c r="K36" s="1"/>
      <c r="L36" s="1"/>
      <c r="M36" s="23"/>
      <c r="N36" s="23"/>
      <c r="O36" s="23"/>
      <c r="P36" s="7"/>
      <c r="Q36" s="1"/>
    </row>
    <row r="37" spans="1:17" x14ac:dyDescent="0.25">
      <c r="A37" s="1"/>
      <c r="B37" s="5"/>
      <c r="C37" s="25"/>
      <c r="D37" s="1"/>
      <c r="E37" s="1"/>
      <c r="F37" s="1"/>
      <c r="G37" s="1"/>
      <c r="H37" s="1"/>
      <c r="I37" s="1"/>
      <c r="J37" s="1"/>
      <c r="K37" s="1"/>
      <c r="L37" s="1"/>
      <c r="M37" s="1"/>
      <c r="N37" s="1"/>
      <c r="O37" s="1"/>
      <c r="P37" s="7"/>
      <c r="Q37" s="1"/>
    </row>
    <row r="38" spans="1:17" ht="15.75" thickBot="1" x14ac:dyDescent="0.3">
      <c r="A38" s="1"/>
      <c r="B38" s="26"/>
      <c r="C38" s="27"/>
      <c r="D38" s="27"/>
      <c r="E38" s="27"/>
      <c r="F38" s="27"/>
      <c r="G38" s="27"/>
      <c r="H38" s="27"/>
      <c r="I38" s="27"/>
      <c r="J38" s="27"/>
      <c r="K38" s="27"/>
      <c r="L38" s="27"/>
      <c r="M38" s="27"/>
      <c r="N38" s="27"/>
      <c r="O38" s="27"/>
      <c r="P38" s="28"/>
      <c r="Q38" s="1"/>
    </row>
    <row r="39" spans="1:17" ht="15.75" thickTop="1" x14ac:dyDescent="0.25">
      <c r="A39" s="1"/>
      <c r="B39" s="1"/>
      <c r="C39" s="1"/>
      <c r="D39" s="1"/>
      <c r="E39" s="1"/>
      <c r="F39" s="1"/>
      <c r="G39" s="1"/>
      <c r="H39" s="1"/>
      <c r="I39" s="1"/>
      <c r="J39" s="1"/>
      <c r="K39" s="1"/>
      <c r="L39" s="1"/>
      <c r="M39" s="1"/>
      <c r="N39" s="1"/>
      <c r="O39" s="1"/>
      <c r="P39" s="1"/>
      <c r="Q39" s="1"/>
    </row>
    <row r="40" spans="1:17" x14ac:dyDescent="0.25">
      <c r="A40" s="1"/>
      <c r="B40" s="1"/>
      <c r="C40" s="1"/>
      <c r="D40" s="1"/>
      <c r="E40" s="1"/>
      <c r="F40" s="1"/>
      <c r="G40" s="1"/>
      <c r="H40" s="1"/>
      <c r="I40" s="1"/>
      <c r="J40" s="1"/>
      <c r="K40" s="1"/>
      <c r="L40" s="1"/>
      <c r="M40" s="1"/>
      <c r="N40" s="1"/>
      <c r="O40" s="1"/>
      <c r="P40" s="1"/>
      <c r="Q40" s="1"/>
    </row>
    <row r="41" spans="1:17" x14ac:dyDescent="0.25">
      <c r="A41" s="1"/>
      <c r="B41" s="1"/>
      <c r="C41" s="1"/>
      <c r="D41" s="1"/>
      <c r="E41" s="1"/>
      <c r="F41" s="1"/>
      <c r="G41" s="1"/>
      <c r="H41" s="1"/>
      <c r="I41" s="1"/>
      <c r="J41" s="1"/>
      <c r="K41" s="1"/>
      <c r="L41" s="1"/>
      <c r="M41" s="1"/>
      <c r="N41" s="1"/>
      <c r="O41" s="1"/>
      <c r="P41" s="1"/>
      <c r="Q41" s="1"/>
    </row>
  </sheetData>
  <sheetProtection algorithmName="SHA-512" hashValue="mur5Q3PEaZxn8LXLz/eSymodHMyMcb7gr8gXWBwpSU/m7uV0ZPVWkcKOdJlg0OS/SXBXX9P/iBb2vTO1mWy68A==" saltValue="abZlHLcGIMQMz4F8z7vkTw==" spinCount="100000" sheet="1" objects="1" scenarios="1" formatCells="0" formatRows="0"/>
  <mergeCells count="22">
    <mergeCell ref="C21:D21"/>
    <mergeCell ref="C22:D22"/>
    <mergeCell ref="E4:E5"/>
    <mergeCell ref="F4:M5"/>
    <mergeCell ref="F6:M6"/>
    <mergeCell ref="I8:K8"/>
    <mergeCell ref="C18:M18"/>
    <mergeCell ref="C20:D20"/>
    <mergeCell ref="F20:M20"/>
    <mergeCell ref="F21:M21"/>
    <mergeCell ref="F22:M22"/>
    <mergeCell ref="I34:M34"/>
    <mergeCell ref="I30:M30"/>
    <mergeCell ref="I32:M32"/>
    <mergeCell ref="I24:M24"/>
    <mergeCell ref="I26:M26"/>
    <mergeCell ref="I28:M28"/>
    <mergeCell ref="I25:M25"/>
    <mergeCell ref="I27:M27"/>
    <mergeCell ref="I29:M29"/>
    <mergeCell ref="I31:M31"/>
    <mergeCell ref="I33:M33"/>
  </mergeCells>
  <conditionalFormatting sqref="G26 G28 G30 G32 G34">
    <cfRule type="cellIs" priority="4" operator="between">
      <formula>0.75</formula>
      <formula>1</formula>
    </cfRule>
    <cfRule type="cellIs" dxfId="11" priority="5" operator="between">
      <formula>0.5</formula>
      <formula>0.75</formula>
    </cfRule>
    <cfRule type="cellIs" dxfId="10" priority="6" operator="between">
      <formula>0</formula>
      <formula>0.49</formula>
    </cfRule>
    <cfRule type="cellIs" dxfId="9" priority="31" operator="between">
      <formula>0.76</formula>
      <formula>1</formula>
    </cfRule>
    <cfRule type="cellIs" dxfId="8" priority="32" operator="between">
      <formula>0.51</formula>
      <formula>0.75</formula>
    </cfRule>
    <cfRule type="cellIs" dxfId="7" priority="33" operator="between">
      <formula>0.26</formula>
      <formula>0.5</formula>
    </cfRule>
  </conditionalFormatting>
  <conditionalFormatting sqref="M8">
    <cfRule type="cellIs" dxfId="5" priority="1" operator="between">
      <formula>0.75</formula>
      <formula>1</formula>
    </cfRule>
    <cfRule type="cellIs" dxfId="4" priority="2" operator="between">
      <formula>0.5</formula>
      <formula>0.75</formula>
    </cfRule>
    <cfRule type="cellIs" dxfId="3" priority="3" operator="between">
      <formula>0</formula>
      <formula>0.49</formula>
    </cfRule>
    <cfRule type="cellIs" priority="27" operator="between">
      <formula>0.76</formula>
      <formula>1</formula>
    </cfRule>
    <cfRule type="cellIs" dxfId="2" priority="28" operator="between">
      <formula>0.51</formula>
      <formula>0.75</formula>
    </cfRule>
    <cfRule type="cellIs" dxfId="1" priority="29" operator="between">
      <formula>0.26</formula>
      <formula>0.5</formula>
    </cfRule>
    <cfRule type="cellIs" dxfId="0" priority="30" operator="between">
      <formula>0</formula>
      <formula>0.25</formula>
    </cfRule>
  </conditionalFormatting>
  <dataValidations count="3">
    <dataValidation type="list" allowBlank="1" showInputMessage="1" showErrorMessage="1" sqref="E21:E22" xr:uid="{00000000-0002-0000-0300-000000000000}">
      <formula1>"Si, No"</formula1>
    </dataValidation>
    <dataValidation allowBlank="1" showInputMessage="1" showErrorMessage="1" prompt="Celda formulada, información proveniente de la pestaña de deficiencias." sqref="E24" xr:uid="{00000000-0002-0000-0300-000001000000}"/>
    <dataValidation type="list" allowBlank="1" showInputMessage="1" showErrorMessage="1" sqref="E20" xr:uid="{00000000-0002-0000-0300-000002000000}">
      <formula1>"Si,En proceso,No"</formula1>
    </dataValidation>
  </dataValidations>
  <pageMargins left="0.7" right="0.7" top="0.75" bottom="0.75" header="0.3" footer="0.3"/>
  <pageSetup scale="24" orientation="portrait" horizontalDpi="300" verticalDpi="300" r:id="rId1"/>
  <drawing r:id="rId2"/>
  <extLst>
    <ext xmlns:x14="http://schemas.microsoft.com/office/spreadsheetml/2009/9/main" uri="{78C0D931-6437-407d-A8EE-F0AAD7539E65}">
      <x14:conditionalFormattings>
        <x14:conditionalFormatting xmlns:xm="http://schemas.microsoft.com/office/excel/2006/main">
          <x14:cfRule type="cellIs" priority="34" operator="between" id="{7ADAD4B9-72C7-4518-BD8A-A7D8DD349CD9}">
            <xm:f>0</xm:f>
            <xm:f>'C:\Users\dell\Desktop\cesar\HISTORICOS\[2020-04-22_Formato_informe_sci_parametrizado_final.xlsx]Analisis de Resultados'!#REF!</xm:f>
            <x14:dxf>
              <fill>
                <patternFill>
                  <bgColor rgb="FFFF0000"/>
                </patternFill>
              </fill>
            </x14:dxf>
          </x14:cfRule>
          <xm:sqref>G26 G28 G30 G32 G34</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5"/>
  <sheetViews>
    <sheetView workbookViewId="0">
      <selection activeCell="F2" sqref="F2"/>
    </sheetView>
  </sheetViews>
  <sheetFormatPr baseColWidth="10" defaultColWidth="11.42578125" defaultRowHeight="15" x14ac:dyDescent="0.25"/>
  <cols>
    <col min="2" max="2" width="31" bestFit="1" customWidth="1"/>
    <col min="3" max="3" width="17.140625" customWidth="1"/>
    <col min="5" max="5" width="15.140625" customWidth="1"/>
    <col min="10" max="10" width="15.7109375" customWidth="1"/>
    <col min="11" max="11" width="12" bestFit="1" customWidth="1"/>
  </cols>
  <sheetData>
    <row r="1" spans="1:11" ht="84.75" customHeight="1" x14ac:dyDescent="0.25">
      <c r="A1" s="143" t="s">
        <v>25</v>
      </c>
      <c r="B1" s="143" t="s">
        <v>6</v>
      </c>
      <c r="C1" s="144" t="s">
        <v>8</v>
      </c>
      <c r="D1" s="145" t="s">
        <v>26</v>
      </c>
      <c r="E1" s="145" t="s">
        <v>27</v>
      </c>
      <c r="F1" s="145" t="s">
        <v>137</v>
      </c>
      <c r="G1" s="146" t="s">
        <v>138</v>
      </c>
      <c r="H1" s="146" t="s">
        <v>139</v>
      </c>
      <c r="I1" s="146" t="s">
        <v>118</v>
      </c>
      <c r="J1" s="146" t="s">
        <v>140</v>
      </c>
      <c r="K1" s="146" t="s">
        <v>141</v>
      </c>
    </row>
    <row r="2" spans="1:11" x14ac:dyDescent="0.25">
      <c r="A2" s="147" t="s">
        <v>142</v>
      </c>
      <c r="B2" s="147" t="str">
        <f>+VLOOKUP(A2,'Estado SCI'!$A$16:$C$59,3,0)</f>
        <v>AMBIENTE DE CONTROL</v>
      </c>
      <c r="C2" s="147" t="s">
        <v>33</v>
      </c>
      <c r="D2" s="147" t="s">
        <v>34</v>
      </c>
      <c r="E2" s="147" t="s">
        <v>35</v>
      </c>
      <c r="F2" s="147" t="str">
        <f>+VLOOKUP(A2,'Estado SCI'!$A$16:$I$59,9,0)</f>
        <v>Mantenimiento del control</v>
      </c>
      <c r="G2" s="147">
        <f>+VLOOKUP(A2,'Estado SCI'!$A$16:$L$59,12,0)</f>
        <v>20.123000000000001</v>
      </c>
      <c r="H2" s="147">
        <f t="shared" ref="H2:H45" si="0">+_xlfn.RANK.EQ(G2,$G$2:$G$45,1)</f>
        <v>4</v>
      </c>
      <c r="I2" s="147" t="str">
        <f>+IF(VLOOKUP(A2,'Estado SCI'!$A$16:$G$59,7,0)="","",VLOOKUP(A2,'Estado SCI'!$A$16:$G$59,7,0))</f>
        <v>Si</v>
      </c>
      <c r="J2" s="148">
        <f>+IF(I2="Si",1,IF(I2="En proceso",0.5,0))</f>
        <v>1</v>
      </c>
      <c r="K2" s="149">
        <f t="shared" ref="K2:K45" si="1">+AVERAGEIF($B$2:$B$45,B2,$J$2:$J$45)</f>
        <v>0.875</v>
      </c>
    </row>
    <row r="3" spans="1:11" x14ac:dyDescent="0.25">
      <c r="A3" s="147" t="s">
        <v>143</v>
      </c>
      <c r="B3" s="147" t="s">
        <v>32</v>
      </c>
      <c r="C3" s="147" t="s">
        <v>33</v>
      </c>
      <c r="D3" s="147" t="s">
        <v>36</v>
      </c>
      <c r="E3" s="147" t="s">
        <v>37</v>
      </c>
      <c r="F3" s="147" t="str">
        <f>+VLOOKUP(A3,'Estado SCI'!$A$16:$I$59,9,0)</f>
        <v>Mantenimiento del control</v>
      </c>
      <c r="G3" s="147">
        <f>+VLOOKUP(A3,'Estado SCI'!$A$16:$L$59,12,0)</f>
        <v>20.1234</v>
      </c>
      <c r="H3" s="147">
        <f t="shared" si="0"/>
        <v>5</v>
      </c>
      <c r="I3" s="147" t="str">
        <f>+IF(VLOOKUP(A3,'Estado SCI'!$A$16:$G$59,7,0)="","",VLOOKUP(A3,'Estado SCI'!$A$16:$G$59,7,0))</f>
        <v>Si</v>
      </c>
      <c r="J3" s="148">
        <f t="shared" ref="J3:J45" si="2">+IF(I3="Si",1,IF(I3="En proceso",0.5,0))</f>
        <v>1</v>
      </c>
      <c r="K3" s="149">
        <f t="shared" si="1"/>
        <v>0.875</v>
      </c>
    </row>
    <row r="4" spans="1:11" x14ac:dyDescent="0.25">
      <c r="A4" s="147" t="s">
        <v>144</v>
      </c>
      <c r="B4" s="147" t="s">
        <v>32</v>
      </c>
      <c r="C4" s="147" t="s">
        <v>33</v>
      </c>
      <c r="D4" s="147" t="s">
        <v>39</v>
      </c>
      <c r="E4" s="147" t="s">
        <v>40</v>
      </c>
      <c r="F4" s="147" t="str">
        <f>+VLOOKUP(A4,'Estado SCI'!$A$16:$I$59,9,0)</f>
        <v>Mantenimiento del control</v>
      </c>
      <c r="G4" s="147">
        <f>+VLOOKUP(A4,'Estado SCI'!$A$16:$L$59,12,0)</f>
        <v>20.123449999999998</v>
      </c>
      <c r="H4" s="147">
        <f t="shared" si="0"/>
        <v>6</v>
      </c>
      <c r="I4" s="147" t="str">
        <f>+IF(VLOOKUP(A4,'Estado SCI'!$A$16:$G$59,7,0)="","",VLOOKUP(A4,'Estado SCI'!$A$16:$G$59,7,0))</f>
        <v>Si</v>
      </c>
      <c r="J4" s="148">
        <f t="shared" si="2"/>
        <v>1</v>
      </c>
      <c r="K4" s="149">
        <f t="shared" si="1"/>
        <v>0.875</v>
      </c>
    </row>
    <row r="5" spans="1:11" x14ac:dyDescent="0.25">
      <c r="A5" s="147" t="s">
        <v>145</v>
      </c>
      <c r="B5" s="147" t="s">
        <v>32</v>
      </c>
      <c r="C5" s="147" t="s">
        <v>33</v>
      </c>
      <c r="D5" s="147" t="s">
        <v>41</v>
      </c>
      <c r="E5" s="147" t="s">
        <v>42</v>
      </c>
      <c r="F5" s="147" t="str">
        <f>+VLOOKUP(A5,'Estado SCI'!$A$16:$I$59,9,0)</f>
        <v>Oportunidad de mejora</v>
      </c>
      <c r="G5" s="147">
        <f>+VLOOKUP(A5,'Estado SCI'!$A$16:$L$59,12,0)</f>
        <v>10.123455999999999</v>
      </c>
      <c r="H5" s="147">
        <f t="shared" si="0"/>
        <v>1</v>
      </c>
      <c r="I5" s="147" t="str">
        <f>+IF(VLOOKUP(A5,'Estado SCI'!$A$16:$G$59,7,0)="","",VLOOKUP(A5,'Estado SCI'!$A$16:$G$59,7,0))</f>
        <v>En proceso</v>
      </c>
      <c r="J5" s="148">
        <f t="shared" si="2"/>
        <v>0.5</v>
      </c>
      <c r="K5" s="149">
        <f t="shared" si="1"/>
        <v>0.875</v>
      </c>
    </row>
    <row r="6" spans="1:11" x14ac:dyDescent="0.25">
      <c r="A6" s="147" t="s">
        <v>146</v>
      </c>
      <c r="B6" s="147" t="s">
        <v>32</v>
      </c>
      <c r="C6" s="147" t="s">
        <v>33</v>
      </c>
      <c r="D6" s="147" t="s">
        <v>43</v>
      </c>
      <c r="E6" s="147" t="s">
        <v>44</v>
      </c>
      <c r="F6" s="147" t="str">
        <f>+VLOOKUP(A6,'Estado SCI'!$A$16:$I$59,9,0)</f>
        <v>Mantenimiento del control</v>
      </c>
      <c r="G6" s="147">
        <f>+VLOOKUP(A6,'Estado SCI'!$A$16:$L$59,12,0)</f>
        <v>20.123456780000001</v>
      </c>
      <c r="H6" s="147">
        <f t="shared" si="0"/>
        <v>7</v>
      </c>
      <c r="I6" s="147" t="str">
        <f>+IF(VLOOKUP(A6,'Estado SCI'!$A$16:$G$59,7,0)="","",VLOOKUP(A6,'Estado SCI'!$A$16:$G$59,7,0))</f>
        <v>Si</v>
      </c>
      <c r="J6" s="148">
        <f t="shared" si="2"/>
        <v>1</v>
      </c>
      <c r="K6" s="149">
        <f t="shared" si="1"/>
        <v>0.875</v>
      </c>
    </row>
    <row r="7" spans="1:11" x14ac:dyDescent="0.25">
      <c r="A7" s="147" t="s">
        <v>147</v>
      </c>
      <c r="B7" s="147" t="s">
        <v>32</v>
      </c>
      <c r="C7" s="147" t="s">
        <v>33</v>
      </c>
      <c r="D7" s="147" t="s">
        <v>45</v>
      </c>
      <c r="E7" s="147" t="s">
        <v>46</v>
      </c>
      <c r="F7" s="147" t="str">
        <f>+VLOOKUP(A7,'Estado SCI'!$A$16:$I$59,9,0)</f>
        <v>Mantenimiento del control</v>
      </c>
      <c r="G7" s="147">
        <f>+VLOOKUP(A7,'Estado SCI'!$A$16:$L$59,12,0)</f>
        <v>20.123456788999999</v>
      </c>
      <c r="H7" s="147">
        <f t="shared" si="0"/>
        <v>8</v>
      </c>
      <c r="I7" s="147" t="str">
        <f>+IF(VLOOKUP(A7,'Estado SCI'!$A$16:$G$59,7,0)="","",VLOOKUP(A7,'Estado SCI'!$A$16:$G$59,7,0))</f>
        <v>Si</v>
      </c>
      <c r="J7" s="148">
        <f t="shared" si="2"/>
        <v>1</v>
      </c>
      <c r="K7" s="149">
        <f t="shared" si="1"/>
        <v>0.875</v>
      </c>
    </row>
    <row r="8" spans="1:11" x14ac:dyDescent="0.25">
      <c r="A8" s="147" t="s">
        <v>148</v>
      </c>
      <c r="B8" s="147" t="s">
        <v>32</v>
      </c>
      <c r="C8" s="147" t="s">
        <v>33</v>
      </c>
      <c r="D8" s="147" t="s">
        <v>47</v>
      </c>
      <c r="E8" s="147" t="s">
        <v>48</v>
      </c>
      <c r="F8" s="147" t="str">
        <f>+VLOOKUP(A8,'Estado SCI'!$A$16:$I$59,9,0)</f>
        <v>Mantenimiento del control</v>
      </c>
      <c r="G8" s="147">
        <f>+VLOOKUP(A8,'Estado SCI'!$A$16:$L$59,12,0)</f>
        <v>20.1234567891</v>
      </c>
      <c r="H8" s="147">
        <f t="shared" si="0"/>
        <v>9</v>
      </c>
      <c r="I8" s="147" t="str">
        <f>+IF(VLOOKUP(A8,'Estado SCI'!$A$16:$G$59,7,0)="","",VLOOKUP(A8,'Estado SCI'!$A$16:$G$59,7,0))</f>
        <v>Si</v>
      </c>
      <c r="J8" s="148">
        <f t="shared" si="2"/>
        <v>1</v>
      </c>
      <c r="K8" s="149">
        <f t="shared" si="1"/>
        <v>0.875</v>
      </c>
    </row>
    <row r="9" spans="1:11" x14ac:dyDescent="0.25">
      <c r="A9" s="147" t="s">
        <v>149</v>
      </c>
      <c r="B9" s="147" t="s">
        <v>32</v>
      </c>
      <c r="C9" s="147" t="s">
        <v>33</v>
      </c>
      <c r="D9" s="147" t="s">
        <v>49</v>
      </c>
      <c r="E9" s="147" t="s">
        <v>50</v>
      </c>
      <c r="F9" s="147" t="str">
        <f>+VLOOKUP(A9,'Estado SCI'!$A$16:$I$59,9,0)</f>
        <v>Mantenimiento del control</v>
      </c>
      <c r="G9" s="147">
        <f>+VLOOKUP(A9,'Estado SCI'!$A$16:$L$59,12,0)</f>
        <v>20.123456789119999</v>
      </c>
      <c r="H9" s="147">
        <f t="shared" si="0"/>
        <v>10</v>
      </c>
      <c r="I9" s="147" t="str">
        <f>+IF(VLOOKUP(A9,'Estado SCI'!$A$16:$G$59,7,0)="","",VLOOKUP(A9,'Estado SCI'!$A$16:$G$59,7,0))</f>
        <v>Si</v>
      </c>
      <c r="J9" s="148">
        <f t="shared" si="2"/>
        <v>1</v>
      </c>
      <c r="K9" s="149">
        <f t="shared" si="1"/>
        <v>0.875</v>
      </c>
    </row>
    <row r="10" spans="1:11" x14ac:dyDescent="0.25">
      <c r="A10" s="147" t="s">
        <v>150</v>
      </c>
      <c r="B10" s="147" t="s">
        <v>32</v>
      </c>
      <c r="C10" s="147" t="s">
        <v>33</v>
      </c>
      <c r="D10" s="147" t="s">
        <v>51</v>
      </c>
      <c r="E10" s="147" t="s">
        <v>52</v>
      </c>
      <c r="F10" s="147" t="str">
        <f>+VLOOKUP(A10,'Estado SCI'!$A$16:$I$59,9,0)</f>
        <v>Mantenimiento del control</v>
      </c>
      <c r="G10" s="147">
        <f>+VLOOKUP(A10,'Estado SCI'!$A$16:$L$59,12,0)</f>
        <v>20.123456789123001</v>
      </c>
      <c r="H10" s="147">
        <f t="shared" si="0"/>
        <v>11</v>
      </c>
      <c r="I10" s="147" t="str">
        <f>+IF(VLOOKUP(A10,'Estado SCI'!$A$16:$G$59,7,0)="","",VLOOKUP(A10,'Estado SCI'!$A$16:$G$59,7,0))</f>
        <v>Si</v>
      </c>
      <c r="J10" s="148">
        <f t="shared" si="2"/>
        <v>1</v>
      </c>
      <c r="K10" s="149">
        <f t="shared" si="1"/>
        <v>0.875</v>
      </c>
    </row>
    <row r="11" spans="1:11" x14ac:dyDescent="0.25">
      <c r="A11" s="147" t="s">
        <v>151</v>
      </c>
      <c r="B11" s="147" t="s">
        <v>32</v>
      </c>
      <c r="C11" s="147" t="s">
        <v>33</v>
      </c>
      <c r="D11" s="147" t="s">
        <v>53</v>
      </c>
      <c r="E11" s="147" t="s">
        <v>54</v>
      </c>
      <c r="F11" s="147" t="str">
        <f>+VLOOKUP(A11,'Estado SCI'!$A$16:$I$59,9,0)</f>
        <v>Oportunidad de mejora</v>
      </c>
      <c r="G11" s="147">
        <f>+VLOOKUP(A11,'Estado SCI'!$A$16:$L$59,12,0)</f>
        <v>10.1234567891234</v>
      </c>
      <c r="H11" s="147">
        <f t="shared" si="0"/>
        <v>2</v>
      </c>
      <c r="I11" s="147" t="str">
        <f>+IF(VLOOKUP(A11,'Estado SCI'!$A$16:$G$59,7,0)="","",VLOOKUP(A11,'Estado SCI'!$A$16:$G$59,7,0))</f>
        <v>En proceso</v>
      </c>
      <c r="J11" s="148">
        <f t="shared" si="2"/>
        <v>0.5</v>
      </c>
      <c r="K11" s="149">
        <f t="shared" si="1"/>
        <v>0.875</v>
      </c>
    </row>
    <row r="12" spans="1:11" x14ac:dyDescent="0.25">
      <c r="A12" s="147" t="s">
        <v>152</v>
      </c>
      <c r="B12" s="147" t="s">
        <v>32</v>
      </c>
      <c r="C12" s="147" t="s">
        <v>33</v>
      </c>
      <c r="D12" s="147" t="s">
        <v>55</v>
      </c>
      <c r="E12" s="147" t="s">
        <v>56</v>
      </c>
      <c r="F12" s="147" t="str">
        <f>+VLOOKUP(A12,'Estado SCI'!$A$16:$I$59,9,0)</f>
        <v>Oportunidad de mejora</v>
      </c>
      <c r="G12" s="147">
        <f>+VLOOKUP(A12,'Estado SCI'!$A$16:$L$59,12,0)</f>
        <v>10.12345678912345</v>
      </c>
      <c r="H12" s="147">
        <f t="shared" si="0"/>
        <v>3</v>
      </c>
      <c r="I12" s="147" t="str">
        <f>+IF(VLOOKUP(A12,'Estado SCI'!$A$16:$G$59,7,0)="","",VLOOKUP(A12,'Estado SCI'!$A$16:$G$59,7,0))</f>
        <v>En proceso</v>
      </c>
      <c r="J12" s="148">
        <f t="shared" si="2"/>
        <v>0.5</v>
      </c>
      <c r="K12" s="149">
        <f t="shared" si="1"/>
        <v>0.875</v>
      </c>
    </row>
    <row r="13" spans="1:11" x14ac:dyDescent="0.25">
      <c r="A13" s="147" t="s">
        <v>153</v>
      </c>
      <c r="B13" s="147" t="s">
        <v>32</v>
      </c>
      <c r="C13" s="147" t="s">
        <v>33</v>
      </c>
      <c r="D13" s="147" t="s">
        <v>57</v>
      </c>
      <c r="E13" s="147" t="s">
        <v>58</v>
      </c>
      <c r="F13" s="147" t="str">
        <f>+VLOOKUP(A13,'Estado SCI'!$A$16:$I$59,9,0)</f>
        <v>Mantenimiento del control</v>
      </c>
      <c r="G13" s="147">
        <f>+VLOOKUP(A13,'Estado SCI'!$A$16:$L$59,12,0)</f>
        <v>20.123456789123455</v>
      </c>
      <c r="H13" s="147">
        <f t="shared" si="0"/>
        <v>12</v>
      </c>
      <c r="I13" s="147" t="str">
        <f>+IF(VLOOKUP(A13,'Estado SCI'!$A$16:$G$59,7,0)="","",VLOOKUP(A13,'Estado SCI'!$A$16:$G$59,7,0))</f>
        <v>Si</v>
      </c>
      <c r="J13" s="148">
        <f t="shared" si="2"/>
        <v>1</v>
      </c>
      <c r="K13" s="149">
        <f t="shared" si="1"/>
        <v>0.875</v>
      </c>
    </row>
    <row r="14" spans="1:11" ht="15" customHeight="1" x14ac:dyDescent="0.25">
      <c r="A14" s="147" t="s">
        <v>154</v>
      </c>
      <c r="B14" s="147" t="str">
        <f>+VLOOKUP(A14,'Estado SCI'!$A$16:$C$59,3,0)</f>
        <v>EVALUACION DEL RIESGO</v>
      </c>
      <c r="C14" s="147" t="s">
        <v>61</v>
      </c>
      <c r="D14" s="147" t="s">
        <v>34</v>
      </c>
      <c r="E14" s="147" t="s">
        <v>155</v>
      </c>
      <c r="F14" s="147" t="str">
        <f>+VLOOKUP(A14,'Estado SCI'!$A$16:$I$59,9,0)</f>
        <v>Mantenimiento del control</v>
      </c>
      <c r="G14" s="147">
        <f>+VLOOKUP(A14,'Estado SCI'!$A$16:$L$59,12,0)</f>
        <v>40.229999999999997</v>
      </c>
      <c r="H14" s="147">
        <f t="shared" si="0"/>
        <v>17</v>
      </c>
      <c r="I14" s="147" t="str">
        <f>+IF(VLOOKUP(A14,'Estado SCI'!$A$16:$G$59,7,0)="","",VLOOKUP(A14,'Estado SCI'!$A$16:$G$59,7,0))</f>
        <v>Si</v>
      </c>
      <c r="J14" s="148">
        <f t="shared" si="2"/>
        <v>1</v>
      </c>
      <c r="K14" s="149">
        <f t="shared" si="1"/>
        <v>0.8</v>
      </c>
    </row>
    <row r="15" spans="1:11" ht="15" customHeight="1" x14ac:dyDescent="0.25">
      <c r="A15" s="147" t="s">
        <v>156</v>
      </c>
      <c r="B15" s="147" t="s">
        <v>60</v>
      </c>
      <c r="C15" s="147" t="s">
        <v>61</v>
      </c>
      <c r="D15" s="147" t="s">
        <v>36</v>
      </c>
      <c r="E15" s="147" t="s">
        <v>157</v>
      </c>
      <c r="F15" s="147" t="str">
        <f>+VLOOKUP(A15,'Estado SCI'!$A$16:$I$59,9,0)</f>
        <v>Oportunidad de mejora</v>
      </c>
      <c r="G15" s="147">
        <f>+VLOOKUP(A15,'Estado SCI'!$A$16:$L$59,12,0)</f>
        <v>30.234000000000002</v>
      </c>
      <c r="H15" s="147">
        <f t="shared" si="0"/>
        <v>13</v>
      </c>
      <c r="I15" s="147" t="str">
        <f>+IF(VLOOKUP(A15,'Estado SCI'!$A$16:$G$59,7,0)="","",VLOOKUP(A15,'Estado SCI'!$A$16:$G$59,7,0))</f>
        <v>En proceso</v>
      </c>
      <c r="J15" s="148">
        <f t="shared" si="2"/>
        <v>0.5</v>
      </c>
      <c r="K15" s="149">
        <f t="shared" si="1"/>
        <v>0.8</v>
      </c>
    </row>
    <row r="16" spans="1:11" ht="15" customHeight="1" x14ac:dyDescent="0.25">
      <c r="A16" s="147" t="s">
        <v>158</v>
      </c>
      <c r="B16" s="147" t="s">
        <v>60</v>
      </c>
      <c r="C16" s="147" t="s">
        <v>61</v>
      </c>
      <c r="D16" s="147" t="s">
        <v>39</v>
      </c>
      <c r="E16" s="147" t="s">
        <v>159</v>
      </c>
      <c r="F16" s="147" t="str">
        <f>+VLOOKUP(A16,'Estado SCI'!$A$16:$I$59,9,0)</f>
        <v>Mantenimiento del control</v>
      </c>
      <c r="G16" s="147">
        <f>+VLOOKUP(A16,'Estado SCI'!$A$16:$L$59,12,0)</f>
        <v>40.234499999999997</v>
      </c>
      <c r="H16" s="147">
        <f t="shared" si="0"/>
        <v>18</v>
      </c>
      <c r="I16" s="147" t="str">
        <f>+IF(VLOOKUP(A16,'Estado SCI'!$A$16:$G$59,7,0)="","",VLOOKUP(A16,'Estado SCI'!$A$16:$G$59,7,0))</f>
        <v>Si</v>
      </c>
      <c r="J16" s="148">
        <f t="shared" si="2"/>
        <v>1</v>
      </c>
      <c r="K16" s="149">
        <f t="shared" si="1"/>
        <v>0.8</v>
      </c>
    </row>
    <row r="17" spans="1:11" ht="15.75" customHeight="1" x14ac:dyDescent="0.25">
      <c r="A17" s="147" t="s">
        <v>160</v>
      </c>
      <c r="B17" s="147" t="s">
        <v>60</v>
      </c>
      <c r="C17" s="147" t="s">
        <v>61</v>
      </c>
      <c r="D17" s="147" t="s">
        <v>41</v>
      </c>
      <c r="E17" s="147" t="s">
        <v>65</v>
      </c>
      <c r="F17" s="147" t="str">
        <f>+VLOOKUP(A17,'Estado SCI'!$A$16:$I$59,9,0)</f>
        <v>Mantenimiento del control</v>
      </c>
      <c r="G17" s="147">
        <f>+VLOOKUP(A17,'Estado SCI'!$A$16:$L$59,12,0)</f>
        <v>40.234560000000002</v>
      </c>
      <c r="H17" s="147">
        <f t="shared" si="0"/>
        <v>19</v>
      </c>
      <c r="I17" s="147" t="str">
        <f>+IF(VLOOKUP(A17,'Estado SCI'!$A$16:$G$59,7,0)="","",VLOOKUP(A17,'Estado SCI'!$A$16:$G$59,7,0))</f>
        <v>Si</v>
      </c>
      <c r="J17" s="148">
        <f t="shared" si="2"/>
        <v>1</v>
      </c>
      <c r="K17" s="149">
        <f t="shared" si="1"/>
        <v>0.8</v>
      </c>
    </row>
    <row r="18" spans="1:11" ht="15" customHeight="1" x14ac:dyDescent="0.25">
      <c r="A18" s="147" t="s">
        <v>161</v>
      </c>
      <c r="B18" s="147" t="s">
        <v>60</v>
      </c>
      <c r="C18" s="147" t="s">
        <v>79</v>
      </c>
      <c r="D18" s="147" t="s">
        <v>34</v>
      </c>
      <c r="E18" s="147" t="s">
        <v>68</v>
      </c>
      <c r="F18" s="147" t="str">
        <f>+VLOOKUP(A18,'Estado SCI'!$A$16:$I$59,9,0)</f>
        <v>Mantenimiento del control</v>
      </c>
      <c r="G18" s="147">
        <f>+VLOOKUP(A18,'Estado SCI'!$A$16:$L$59,12,0)</f>
        <v>40.234566999999998</v>
      </c>
      <c r="H18" s="147">
        <f t="shared" si="0"/>
        <v>20</v>
      </c>
      <c r="I18" s="147" t="str">
        <f>+IF(VLOOKUP(A18,'Estado SCI'!$A$16:$G$59,7,0)="","",VLOOKUP(A18,'Estado SCI'!$A$16:$G$59,7,0))</f>
        <v>Si</v>
      </c>
      <c r="J18" s="148">
        <f t="shared" si="2"/>
        <v>1</v>
      </c>
      <c r="K18" s="149">
        <f t="shared" si="1"/>
        <v>0.8</v>
      </c>
    </row>
    <row r="19" spans="1:11" ht="15" customHeight="1" x14ac:dyDescent="0.25">
      <c r="A19" s="147" t="s">
        <v>162</v>
      </c>
      <c r="B19" s="147" t="s">
        <v>60</v>
      </c>
      <c r="C19" s="147" t="s">
        <v>79</v>
      </c>
      <c r="D19" s="147" t="s">
        <v>36</v>
      </c>
      <c r="E19" s="147" t="s">
        <v>69</v>
      </c>
      <c r="F19" s="147" t="str">
        <f>+VLOOKUP(A19,'Estado SCI'!$A$16:$I$59,9,0)</f>
        <v>Oportunidad de mejora</v>
      </c>
      <c r="G19" s="147">
        <f>+VLOOKUP(A19,'Estado SCI'!$A$16:$L$59,12,0)</f>
        <v>30.234567800000001</v>
      </c>
      <c r="H19" s="147">
        <f t="shared" si="0"/>
        <v>14</v>
      </c>
      <c r="I19" s="147" t="str">
        <f>+IF(VLOOKUP(A19,'Estado SCI'!$A$16:$G$59,7,0)="","",VLOOKUP(A19,'Estado SCI'!$A$16:$G$59,7,0))</f>
        <v>En proceso</v>
      </c>
      <c r="J19" s="148">
        <f t="shared" si="2"/>
        <v>0.5</v>
      </c>
      <c r="K19" s="149">
        <f t="shared" si="1"/>
        <v>0.8</v>
      </c>
    </row>
    <row r="20" spans="1:11" ht="15" customHeight="1" x14ac:dyDescent="0.25">
      <c r="A20" s="147" t="s">
        <v>163</v>
      </c>
      <c r="B20" s="147" t="s">
        <v>60</v>
      </c>
      <c r="C20" s="147" t="s">
        <v>79</v>
      </c>
      <c r="D20" s="147" t="s">
        <v>39</v>
      </c>
      <c r="E20" s="147" t="s">
        <v>70</v>
      </c>
      <c r="F20" s="147" t="str">
        <f>+VLOOKUP(A20,'Estado SCI'!$A$16:$I$59,9,0)</f>
        <v>Oportunidad de mejora</v>
      </c>
      <c r="G20" s="147">
        <f>+VLOOKUP(A20,'Estado SCI'!$A$16:$L$59,12,0)</f>
        <v>30.234567890000001</v>
      </c>
      <c r="H20" s="147">
        <f t="shared" si="0"/>
        <v>15</v>
      </c>
      <c r="I20" s="147" t="str">
        <f>+IF(VLOOKUP(A20,'Estado SCI'!$A$16:$G$59,7,0)="","",VLOOKUP(A20,'Estado SCI'!$A$16:$G$59,7,0))</f>
        <v>En proceso</v>
      </c>
      <c r="J20" s="148">
        <f t="shared" si="2"/>
        <v>0.5</v>
      </c>
      <c r="K20" s="149">
        <f t="shared" si="1"/>
        <v>0.8</v>
      </c>
    </row>
    <row r="21" spans="1:11" ht="15.75" customHeight="1" x14ac:dyDescent="0.25">
      <c r="A21" s="147" t="s">
        <v>164</v>
      </c>
      <c r="B21" s="147" t="s">
        <v>60</v>
      </c>
      <c r="C21" s="147" t="s">
        <v>79</v>
      </c>
      <c r="D21" s="147" t="s">
        <v>34</v>
      </c>
      <c r="E21" s="147" t="s">
        <v>73</v>
      </c>
      <c r="F21" s="147" t="str">
        <f>+VLOOKUP(A21,'Estado SCI'!$A$16:$I$59,9,0)</f>
        <v>Mantenimiento del control</v>
      </c>
      <c r="G21" s="147">
        <f>+VLOOKUP(A21,'Estado SCI'!$A$16:$L$59,12,0)</f>
        <v>40.234567891200001</v>
      </c>
      <c r="H21" s="147">
        <f t="shared" si="0"/>
        <v>21</v>
      </c>
      <c r="I21" s="147" t="str">
        <f>+IF(VLOOKUP(A21,'Estado SCI'!$A$16:$G$59,7,0)="","",VLOOKUP(A21,'Estado SCI'!$A$16:$G$59,7,0))</f>
        <v>Si</v>
      </c>
      <c r="J21" s="148">
        <f t="shared" si="2"/>
        <v>1</v>
      </c>
      <c r="K21" s="149">
        <f t="shared" si="1"/>
        <v>0.8</v>
      </c>
    </row>
    <row r="22" spans="1:11" ht="15" customHeight="1" x14ac:dyDescent="0.25">
      <c r="A22" s="147" t="s">
        <v>165</v>
      </c>
      <c r="B22" s="147" t="s">
        <v>60</v>
      </c>
      <c r="C22" s="147" t="s">
        <v>87</v>
      </c>
      <c r="D22" s="147" t="s">
        <v>36</v>
      </c>
      <c r="E22" s="147" t="s">
        <v>74</v>
      </c>
      <c r="F22" s="147" t="str">
        <f>+VLOOKUP(A22,'Estado SCI'!$A$16:$I$59,9,0)</f>
        <v>Oportunidad de mejora</v>
      </c>
      <c r="G22" s="147">
        <f>+VLOOKUP(A22,'Estado SCI'!$A$16:$L$59,12,0)</f>
        <v>30.23456789123</v>
      </c>
      <c r="H22" s="147">
        <f t="shared" si="0"/>
        <v>16</v>
      </c>
      <c r="I22" s="147" t="str">
        <f>+IF(VLOOKUP(A22,'Estado SCI'!$A$16:$G$59,7,0)="","",VLOOKUP(A22,'Estado SCI'!$A$16:$G$59,7,0))</f>
        <v>En proceso</v>
      </c>
      <c r="J22" s="148">
        <f t="shared" si="2"/>
        <v>0.5</v>
      </c>
      <c r="K22" s="149">
        <f t="shared" si="1"/>
        <v>0.8</v>
      </c>
    </row>
    <row r="23" spans="1:11" ht="15" customHeight="1" x14ac:dyDescent="0.25">
      <c r="A23" s="147" t="s">
        <v>166</v>
      </c>
      <c r="B23" s="147" t="s">
        <v>60</v>
      </c>
      <c r="C23" s="147" t="s">
        <v>87</v>
      </c>
      <c r="D23" s="147" t="s">
        <v>39</v>
      </c>
      <c r="E23" s="147" t="s">
        <v>76</v>
      </c>
      <c r="F23" s="147" t="str">
        <f>+VLOOKUP(A23,'Estado SCI'!$A$16:$I$59,9,0)</f>
        <v>Mantenimiento del control</v>
      </c>
      <c r="G23" s="147">
        <f>+VLOOKUP(A23,'Estado SCI'!$A$16:$L$59,12,0)</f>
        <v>40.234567891234001</v>
      </c>
      <c r="H23" s="147">
        <f t="shared" si="0"/>
        <v>22</v>
      </c>
      <c r="I23" s="147" t="str">
        <f>+IF(VLOOKUP(A23,'Estado SCI'!$A$16:$G$59,7,0)="","",VLOOKUP(A23,'Estado SCI'!$A$16:$G$59,7,0))</f>
        <v>Si</v>
      </c>
      <c r="J23" s="148">
        <f t="shared" si="2"/>
        <v>1</v>
      </c>
      <c r="K23" s="149">
        <f t="shared" si="1"/>
        <v>0.8</v>
      </c>
    </row>
    <row r="24" spans="1:11" ht="15" customHeight="1" x14ac:dyDescent="0.25">
      <c r="A24" s="147" t="s">
        <v>167</v>
      </c>
      <c r="B24" s="147" t="str">
        <f>+VLOOKUP(A24,'Estado SCI'!$A$16:$C$59,3,0)</f>
        <v>ACTIVIDADES DE CONTROL</v>
      </c>
      <c r="C24" s="147" t="s">
        <v>87</v>
      </c>
      <c r="D24" s="147" t="s">
        <v>34</v>
      </c>
      <c r="E24" s="147" t="s">
        <v>80</v>
      </c>
      <c r="F24" s="147" t="str">
        <f>+VLOOKUP(A24,'Estado SCI'!$A$16:$I$59,9,0)</f>
        <v>Mantenimiento del control</v>
      </c>
      <c r="G24" s="147">
        <f>+VLOOKUP(A24,'Estado SCI'!$A$16:$L$59,12,0)</f>
        <v>60.31</v>
      </c>
      <c r="H24" s="147">
        <f t="shared" si="0"/>
        <v>23</v>
      </c>
      <c r="I24" s="147" t="str">
        <f>+IF(VLOOKUP(A24,'Estado SCI'!$A$16:$G$59,7,0)="","",VLOOKUP(A24,'Estado SCI'!$A$16:$G$59,7,0))</f>
        <v>Si</v>
      </c>
      <c r="J24" s="148">
        <f t="shared" si="2"/>
        <v>1</v>
      </c>
      <c r="K24" s="149">
        <f t="shared" si="1"/>
        <v>1</v>
      </c>
    </row>
    <row r="25" spans="1:11" ht="15" customHeight="1" x14ac:dyDescent="0.25">
      <c r="A25" s="147" t="s">
        <v>168</v>
      </c>
      <c r="B25" s="147" t="s">
        <v>78</v>
      </c>
      <c r="C25" s="147" t="s">
        <v>87</v>
      </c>
      <c r="D25" s="147" t="s">
        <v>36</v>
      </c>
      <c r="E25" s="147" t="s">
        <v>81</v>
      </c>
      <c r="F25" s="147" t="str">
        <f>+VLOOKUP(A25,'Estado SCI'!$A$16:$I$59,9,0)</f>
        <v>Mantenimiento del control</v>
      </c>
      <c r="G25" s="147">
        <f>+VLOOKUP(A25,'Estado SCI'!$A$16:$L$59,12,0)</f>
        <v>60.323</v>
      </c>
      <c r="H25" s="147">
        <f t="shared" si="0"/>
        <v>24</v>
      </c>
      <c r="I25" s="147" t="str">
        <f>+IF(VLOOKUP(A25,'Estado SCI'!$A$16:$G$59,7,0)="","",VLOOKUP(A25,'Estado SCI'!$A$16:$G$59,7,0))</f>
        <v>Si</v>
      </c>
      <c r="J25" s="148">
        <f t="shared" si="2"/>
        <v>1</v>
      </c>
      <c r="K25" s="149">
        <f t="shared" si="1"/>
        <v>1</v>
      </c>
    </row>
    <row r="26" spans="1:11" ht="15" customHeight="1" x14ac:dyDescent="0.25">
      <c r="A26" s="147" t="s">
        <v>169</v>
      </c>
      <c r="B26" s="147" t="s">
        <v>78</v>
      </c>
      <c r="C26" s="147" t="s">
        <v>87</v>
      </c>
      <c r="D26" s="147" t="s">
        <v>39</v>
      </c>
      <c r="E26" s="147" t="s">
        <v>82</v>
      </c>
      <c r="F26" s="147" t="str">
        <f>+VLOOKUP(A26,'Estado SCI'!$A$16:$I$59,9,0)</f>
        <v>Mantenimiento del control</v>
      </c>
      <c r="G26" s="147">
        <f>+VLOOKUP(A26,'Estado SCI'!$A$16:$L$59,12,0)</f>
        <v>60.323999999999998</v>
      </c>
      <c r="H26" s="147">
        <f t="shared" si="0"/>
        <v>25</v>
      </c>
      <c r="I26" s="147" t="str">
        <f>+IF(VLOOKUP(A26,'Estado SCI'!$A$16:$G$59,7,0)="","",VLOOKUP(A26,'Estado SCI'!$A$16:$G$59,7,0))</f>
        <v>Si</v>
      </c>
      <c r="J26" s="148">
        <f t="shared" si="2"/>
        <v>1</v>
      </c>
      <c r="K26" s="149">
        <f t="shared" si="1"/>
        <v>1</v>
      </c>
    </row>
    <row r="27" spans="1:11" ht="15.75" customHeight="1" x14ac:dyDescent="0.25">
      <c r="A27" s="147" t="s">
        <v>170</v>
      </c>
      <c r="B27" s="147" t="s">
        <v>78</v>
      </c>
      <c r="C27" s="147" t="s">
        <v>87</v>
      </c>
      <c r="D27" s="147" t="s">
        <v>41</v>
      </c>
      <c r="E27" s="147" t="s">
        <v>83</v>
      </c>
      <c r="F27" s="147" t="str">
        <f>+VLOOKUP(A27,'Estado SCI'!$A$16:$I$59,9,0)</f>
        <v>Mantenimiento del control</v>
      </c>
      <c r="G27" s="147">
        <f>+VLOOKUP(A27,'Estado SCI'!$A$16:$L$59,12,0)</f>
        <v>60.325000000000003</v>
      </c>
      <c r="H27" s="147">
        <f t="shared" si="0"/>
        <v>26</v>
      </c>
      <c r="I27" s="147" t="str">
        <f>+IF(VLOOKUP(A27,'Estado SCI'!$A$16:$G$59,7,0)="","",VLOOKUP(A27,'Estado SCI'!$A$16:$G$59,7,0))</f>
        <v>Si</v>
      </c>
      <c r="J27" s="148">
        <f t="shared" si="2"/>
        <v>1</v>
      </c>
      <c r="K27" s="149">
        <f t="shared" si="1"/>
        <v>1</v>
      </c>
    </row>
    <row r="28" spans="1:11" ht="15" customHeight="1" x14ac:dyDescent="0.25">
      <c r="A28" s="147" t="s">
        <v>171</v>
      </c>
      <c r="B28" s="147" t="s">
        <v>78</v>
      </c>
      <c r="C28" s="147" t="s">
        <v>97</v>
      </c>
      <c r="D28" s="147" t="s">
        <v>43</v>
      </c>
      <c r="E28" s="147" t="s">
        <v>84</v>
      </c>
      <c r="F28" s="147" t="str">
        <f>+VLOOKUP(A28,'Estado SCI'!$A$16:$I$59,9,0)</f>
        <v>Mantenimiento del control</v>
      </c>
      <c r="G28" s="147">
        <f>+VLOOKUP(A28,'Estado SCI'!$A$16:$L$59,12,0)</f>
        <v>60.326000000000001</v>
      </c>
      <c r="H28" s="147">
        <f t="shared" si="0"/>
        <v>27</v>
      </c>
      <c r="I28" s="147" t="str">
        <f>+IF(VLOOKUP(A28,'Estado SCI'!$A$16:$G$59,7,0)="","",VLOOKUP(A28,'Estado SCI'!$A$16:$G$59,7,0))</f>
        <v>Si</v>
      </c>
      <c r="J28" s="148">
        <f t="shared" si="2"/>
        <v>1</v>
      </c>
      <c r="K28" s="149">
        <f t="shared" si="1"/>
        <v>1</v>
      </c>
    </row>
    <row r="29" spans="1:11" ht="15" customHeight="1" x14ac:dyDescent="0.25">
      <c r="A29" s="147" t="s">
        <v>172</v>
      </c>
      <c r="B29" s="147" t="str">
        <f>+VLOOKUP(A29,'Estado SCI'!$A$16:$C$59,3,0)</f>
        <v>INFORMACION Y COMUNICACIÓN</v>
      </c>
      <c r="C29" s="147" t="s">
        <v>97</v>
      </c>
      <c r="D29" s="147" t="s">
        <v>34</v>
      </c>
      <c r="E29" s="147" t="s">
        <v>88</v>
      </c>
      <c r="F29" s="147" t="str">
        <f>+VLOOKUP(A29,'Estado SCI'!$A$16:$I$59,9,0)</f>
        <v>Mantenimiento del control</v>
      </c>
      <c r="G29" s="147">
        <f>+VLOOKUP(A29,'Estado SCI'!$A$16:$L$59,12,0)</f>
        <v>80.412000000000006</v>
      </c>
      <c r="H29" s="147">
        <f t="shared" si="0"/>
        <v>29</v>
      </c>
      <c r="I29" s="147" t="str">
        <f>+IF(VLOOKUP(A29,'Estado SCI'!$A$16:$G$59,7,0)="","",VLOOKUP(A29,'Estado SCI'!$A$16:$G$59,7,0))</f>
        <v>Si</v>
      </c>
      <c r="J29" s="148">
        <f t="shared" si="2"/>
        <v>1</v>
      </c>
      <c r="K29" s="149">
        <f t="shared" si="1"/>
        <v>0.9285714285714286</v>
      </c>
    </row>
    <row r="30" spans="1:11" ht="15" customHeight="1" x14ac:dyDescent="0.25">
      <c r="A30" s="147" t="s">
        <v>173</v>
      </c>
      <c r="B30" s="147" t="s">
        <v>86</v>
      </c>
      <c r="C30" s="147" t="s">
        <v>97</v>
      </c>
      <c r="D30" s="147" t="s">
        <v>36</v>
      </c>
      <c r="E30" s="147" t="s">
        <v>89</v>
      </c>
      <c r="F30" s="147" t="str">
        <f>+VLOOKUP(A30,'Estado SCI'!$A$16:$I$59,9,0)</f>
        <v>Mantenimiento del control</v>
      </c>
      <c r="G30" s="147">
        <f>+VLOOKUP(A30,'Estado SCI'!$A$16:$L$59,12,0)</f>
        <v>80.412300000000002</v>
      </c>
      <c r="H30" s="147">
        <f t="shared" si="0"/>
        <v>30</v>
      </c>
      <c r="I30" s="147" t="str">
        <f>+IF(VLOOKUP(A30,'Estado SCI'!$A$16:$G$59,7,0)="","",VLOOKUP(A30,'Estado SCI'!$A$16:$G$59,7,0))</f>
        <v>Si</v>
      </c>
      <c r="J30" s="148">
        <f t="shared" si="2"/>
        <v>1</v>
      </c>
      <c r="K30" s="149">
        <f t="shared" si="1"/>
        <v>0.9285714285714286</v>
      </c>
    </row>
    <row r="31" spans="1:11" ht="15.75" customHeight="1" x14ac:dyDescent="0.25">
      <c r="A31" s="147" t="s">
        <v>174</v>
      </c>
      <c r="B31" s="147" t="s">
        <v>86</v>
      </c>
      <c r="C31" s="147" t="s">
        <v>97</v>
      </c>
      <c r="D31" s="147" t="s">
        <v>39</v>
      </c>
      <c r="E31" s="147" t="s">
        <v>90</v>
      </c>
      <c r="F31" s="147" t="str">
        <f>+VLOOKUP(A31,'Estado SCI'!$A$16:$I$59,9,0)</f>
        <v>Mantenimiento del control</v>
      </c>
      <c r="G31" s="147">
        <f>+VLOOKUP(A31,'Estado SCI'!$A$16:$L$59,12,0)</f>
        <v>80.41234</v>
      </c>
      <c r="H31" s="147">
        <f t="shared" si="0"/>
        <v>31</v>
      </c>
      <c r="I31" s="147" t="str">
        <f>+IF(VLOOKUP(A31,'Estado SCI'!$A$16:$G$59,7,0)="","",VLOOKUP(A31,'Estado SCI'!$A$16:$G$59,7,0))</f>
        <v>Si</v>
      </c>
      <c r="J31" s="148">
        <f t="shared" si="2"/>
        <v>1</v>
      </c>
      <c r="K31" s="149">
        <f t="shared" si="1"/>
        <v>0.9285714285714286</v>
      </c>
    </row>
    <row r="32" spans="1:11" x14ac:dyDescent="0.25">
      <c r="A32" s="147" t="s">
        <v>175</v>
      </c>
      <c r="B32" s="147" t="s">
        <v>86</v>
      </c>
      <c r="C32" s="147" t="s">
        <v>103</v>
      </c>
      <c r="D32" s="147" t="s">
        <v>41</v>
      </c>
      <c r="E32" s="147" t="s">
        <v>91</v>
      </c>
      <c r="F32" s="147" t="str">
        <f>+VLOOKUP(A32,'Estado SCI'!$A$16:$I$59,9,0)</f>
        <v>Mantenimiento del control</v>
      </c>
      <c r="G32" s="147">
        <f>+VLOOKUP(A32,'Estado SCI'!$A$16:$L$59,12,0)</f>
        <v>80.412345000000002</v>
      </c>
      <c r="H32" s="147">
        <f t="shared" si="0"/>
        <v>32</v>
      </c>
      <c r="I32" s="147" t="str">
        <f>+IF(VLOOKUP(A32,'Estado SCI'!$A$16:$G$59,7,0)="","",VLOOKUP(A32,'Estado SCI'!$A$16:$G$59,7,0))</f>
        <v>Si</v>
      </c>
      <c r="J32" s="148">
        <f t="shared" si="2"/>
        <v>1</v>
      </c>
      <c r="K32" s="149">
        <f t="shared" si="1"/>
        <v>0.9285714285714286</v>
      </c>
    </row>
    <row r="33" spans="1:11" x14ac:dyDescent="0.25">
      <c r="A33" s="147" t="s">
        <v>176</v>
      </c>
      <c r="B33" s="147" t="s">
        <v>86</v>
      </c>
      <c r="C33" s="147" t="s">
        <v>177</v>
      </c>
      <c r="D33" s="147" t="s">
        <v>43</v>
      </c>
      <c r="E33" s="147" t="s">
        <v>92</v>
      </c>
      <c r="F33" s="147" t="str">
        <f>+VLOOKUP(A33,'Estado SCI'!$A$16:$I$59,9,0)</f>
        <v>Mantenimiento del control</v>
      </c>
      <c r="G33" s="147">
        <f>+VLOOKUP(A33,'Estado SCI'!$A$16:$L$59,12,0)</f>
        <v>80.412345599999995</v>
      </c>
      <c r="H33" s="147">
        <f t="shared" si="0"/>
        <v>33</v>
      </c>
      <c r="I33" s="147" t="str">
        <f>+IF(VLOOKUP(A33,'Estado SCI'!$A$16:$G$59,7,0)="","",VLOOKUP(A33,'Estado SCI'!$A$16:$G$59,7,0))</f>
        <v>Si</v>
      </c>
      <c r="J33" s="148">
        <f t="shared" si="2"/>
        <v>1</v>
      </c>
      <c r="K33" s="149">
        <f t="shared" si="1"/>
        <v>0.9285714285714286</v>
      </c>
    </row>
    <row r="34" spans="1:11" x14ac:dyDescent="0.25">
      <c r="A34" s="147" t="s">
        <v>178</v>
      </c>
      <c r="B34" s="147" t="s">
        <v>86</v>
      </c>
      <c r="C34" s="147" t="s">
        <v>177</v>
      </c>
      <c r="D34" s="147" t="s">
        <v>45</v>
      </c>
      <c r="E34" s="147" t="s">
        <v>93</v>
      </c>
      <c r="F34" s="147" t="str">
        <f>+VLOOKUP(A34,'Estado SCI'!$A$16:$I$59,9,0)</f>
        <v>Oportunidad de mejora</v>
      </c>
      <c r="G34" s="147">
        <f>+VLOOKUP(A34,'Estado SCI'!$A$16:$L$59,12,0)</f>
        <v>70.412345669999993</v>
      </c>
      <c r="H34" s="147">
        <f t="shared" si="0"/>
        <v>28</v>
      </c>
      <c r="I34" s="147" t="str">
        <f>+IF(VLOOKUP(A34,'Estado SCI'!$A$16:$G$59,7,0)="","",VLOOKUP(A34,'Estado SCI'!$A$16:$G$59,7,0))</f>
        <v>En proceso</v>
      </c>
      <c r="J34" s="148">
        <f t="shared" si="2"/>
        <v>0.5</v>
      </c>
      <c r="K34" s="149">
        <f t="shared" si="1"/>
        <v>0.9285714285714286</v>
      </c>
    </row>
    <row r="35" spans="1:11" x14ac:dyDescent="0.25">
      <c r="A35" s="147" t="s">
        <v>179</v>
      </c>
      <c r="B35" s="147" t="s">
        <v>86</v>
      </c>
      <c r="C35" s="147" t="s">
        <v>177</v>
      </c>
      <c r="D35" s="147" t="s">
        <v>47</v>
      </c>
      <c r="E35" s="147" t="s">
        <v>94</v>
      </c>
      <c r="F35" s="147" t="str">
        <f>+VLOOKUP(A35,'Estado SCI'!$A$16:$I$59,9,0)</f>
        <v>Mantenimiento del control</v>
      </c>
      <c r="G35" s="147">
        <f>+VLOOKUP(A35,'Estado SCI'!$A$16:$L$59,12,0)</f>
        <v>80.412345677999994</v>
      </c>
      <c r="H35" s="147">
        <f t="shared" si="0"/>
        <v>34</v>
      </c>
      <c r="I35" s="147" t="str">
        <f>+IF(VLOOKUP(A35,'Estado SCI'!$A$16:$G$59,7,0)="","",VLOOKUP(A35,'Estado SCI'!$A$16:$G$59,7,0))</f>
        <v>Si</v>
      </c>
      <c r="J35" s="148">
        <f t="shared" si="2"/>
        <v>1</v>
      </c>
      <c r="K35" s="149">
        <f t="shared" si="1"/>
        <v>0.9285714285714286</v>
      </c>
    </row>
    <row r="36" spans="1:11" x14ac:dyDescent="0.25">
      <c r="A36" s="147" t="s">
        <v>180</v>
      </c>
      <c r="B36" s="147" t="str">
        <f>+VLOOKUP(A36,'Estado SCI'!$A$16:$C$59,3,0)</f>
        <v>ACTIVIDADES DE MONITOREO</v>
      </c>
      <c r="C36" s="147" t="s">
        <v>177</v>
      </c>
      <c r="D36" s="147" t="s">
        <v>34</v>
      </c>
      <c r="E36" s="147" t="s">
        <v>98</v>
      </c>
      <c r="F36" s="147" t="str">
        <f>+VLOOKUP(A36,'Estado SCI'!$A$16:$I$59,9,0)</f>
        <v>Mantenimiento del control</v>
      </c>
      <c r="G36" s="147">
        <f>+VLOOKUP(A36,'Estado SCI'!$A$16:$L$59,12,0)</f>
        <v>120.851</v>
      </c>
      <c r="H36" s="147">
        <f t="shared" si="0"/>
        <v>35</v>
      </c>
      <c r="I36" s="147" t="str">
        <f>+IF(VLOOKUP(A36,'Estado SCI'!$A$16:$G$59,7,0)="","",VLOOKUP(A36,'Estado SCI'!$A$16:$G$59,7,0))</f>
        <v>Si</v>
      </c>
      <c r="J36" s="148">
        <f t="shared" si="2"/>
        <v>1</v>
      </c>
      <c r="K36" s="149">
        <f t="shared" si="1"/>
        <v>1</v>
      </c>
    </row>
    <row r="37" spans="1:11" x14ac:dyDescent="0.25">
      <c r="A37" s="147" t="s">
        <v>181</v>
      </c>
      <c r="B37" s="147" t="s">
        <v>96</v>
      </c>
      <c r="C37" s="147" t="s">
        <v>177</v>
      </c>
      <c r="D37" s="147" t="s">
        <v>41</v>
      </c>
      <c r="E37" s="147" t="s">
        <v>99</v>
      </c>
      <c r="F37" s="147" t="str">
        <f>+VLOOKUP(A37,'Estado SCI'!$A$16:$I$59,9,0)</f>
        <v>Mantenimiento del control</v>
      </c>
      <c r="G37" s="147">
        <f>+VLOOKUP(A37,'Estado SCI'!$A$16:$L$59,12,0)</f>
        <v>120.85120000000001</v>
      </c>
      <c r="H37" s="147">
        <f t="shared" si="0"/>
        <v>36</v>
      </c>
      <c r="I37" s="147" t="str">
        <f>+IF(VLOOKUP(A37,'Estado SCI'!$A$16:$G$59,7,0)="","",VLOOKUP(A37,'Estado SCI'!$A$16:$G$59,7,0))</f>
        <v>Si</v>
      </c>
      <c r="J37" s="148">
        <f t="shared" si="2"/>
        <v>1</v>
      </c>
      <c r="K37" s="149">
        <f t="shared" si="1"/>
        <v>1</v>
      </c>
    </row>
    <row r="38" spans="1:11" x14ac:dyDescent="0.25">
      <c r="A38" s="147" t="s">
        <v>182</v>
      </c>
      <c r="B38" s="147" t="s">
        <v>96</v>
      </c>
      <c r="C38" s="147" t="s">
        <v>67</v>
      </c>
      <c r="D38" s="147" t="s">
        <v>45</v>
      </c>
      <c r="E38" s="147" t="s">
        <v>100</v>
      </c>
      <c r="F38" s="147" t="str">
        <f>+VLOOKUP(A38,'Estado SCI'!$A$16:$I$59,9,0)</f>
        <v>Mantenimiento del control</v>
      </c>
      <c r="G38" s="147">
        <f>+VLOOKUP(A38,'Estado SCI'!$A$16:$L$59,12,0)</f>
        <v>120.85123</v>
      </c>
      <c r="H38" s="147">
        <f t="shared" si="0"/>
        <v>37</v>
      </c>
      <c r="I38" s="147" t="str">
        <f>+IF(VLOOKUP(A38,'Estado SCI'!$A$16:$G$59,7,0)="","",VLOOKUP(A38,'Estado SCI'!$A$16:$G$59,7,0))</f>
        <v>Si</v>
      </c>
      <c r="J38" s="148">
        <f t="shared" si="2"/>
        <v>1</v>
      </c>
      <c r="K38" s="149">
        <f t="shared" si="1"/>
        <v>1</v>
      </c>
    </row>
    <row r="39" spans="1:11" x14ac:dyDescent="0.25">
      <c r="A39" s="147" t="s">
        <v>183</v>
      </c>
      <c r="B39" s="147" t="s">
        <v>96</v>
      </c>
      <c r="C39" s="147" t="s">
        <v>67</v>
      </c>
      <c r="D39" s="147" t="s">
        <v>47</v>
      </c>
      <c r="E39" s="147" t="s">
        <v>101</v>
      </c>
      <c r="F39" s="147" t="str">
        <f>+VLOOKUP(A39,'Estado SCI'!$A$16:$I$59,9,0)</f>
        <v>Mantenimiento del control</v>
      </c>
      <c r="G39" s="147">
        <f>+VLOOKUP(A39,'Estado SCI'!$A$16:$L$59,12,0)</f>
        <v>120.85123400000001</v>
      </c>
      <c r="H39" s="147">
        <f t="shared" si="0"/>
        <v>38</v>
      </c>
      <c r="I39" s="147" t="str">
        <f>+IF(VLOOKUP(A39,'Estado SCI'!$A$16:$G$59,7,0)="","",VLOOKUP(A39,'Estado SCI'!$A$16:$G$59,7,0))</f>
        <v>Si</v>
      </c>
      <c r="J39" s="148">
        <f t="shared" si="2"/>
        <v>1</v>
      </c>
      <c r="K39" s="149">
        <f t="shared" si="1"/>
        <v>1</v>
      </c>
    </row>
    <row r="40" spans="1:11" x14ac:dyDescent="0.25">
      <c r="A40" s="147" t="s">
        <v>184</v>
      </c>
      <c r="B40" s="147" t="s">
        <v>96</v>
      </c>
      <c r="C40" s="147" t="s">
        <v>67</v>
      </c>
      <c r="D40" s="147" t="s">
        <v>49</v>
      </c>
      <c r="E40" s="147" t="s">
        <v>104</v>
      </c>
      <c r="F40" s="147" t="str">
        <f>+VLOOKUP(A40,'Estado SCI'!$A$16:$I$59,9,0)</f>
        <v>Mantenimiento del control</v>
      </c>
      <c r="G40" s="147">
        <f>+VLOOKUP(A40,'Estado SCI'!$A$16:$L$59,12,0)</f>
        <v>120.8512345</v>
      </c>
      <c r="H40" s="147">
        <f t="shared" si="0"/>
        <v>39</v>
      </c>
      <c r="I40" s="147" t="str">
        <f>+IF(VLOOKUP(A40,'Estado SCI'!$A$16:$G$59,7,0)="","",VLOOKUP(A40,'Estado SCI'!$A$16:$G$59,7,0))</f>
        <v>Si</v>
      </c>
      <c r="J40" s="148">
        <f t="shared" si="2"/>
        <v>1</v>
      </c>
      <c r="K40" s="149">
        <f t="shared" si="1"/>
        <v>1</v>
      </c>
    </row>
    <row r="41" spans="1:11" x14ac:dyDescent="0.25">
      <c r="A41" s="147" t="s">
        <v>185</v>
      </c>
      <c r="B41" s="147" t="s">
        <v>96</v>
      </c>
      <c r="C41" s="147" t="s">
        <v>67</v>
      </c>
      <c r="D41" s="147" t="s">
        <v>34</v>
      </c>
      <c r="E41" s="147" t="s">
        <v>107</v>
      </c>
      <c r="F41" s="147" t="str">
        <f>+VLOOKUP(A41,'Estado SCI'!$A$16:$I$59,9,0)</f>
        <v>Mantenimiento del control</v>
      </c>
      <c r="G41" s="147">
        <f>+VLOOKUP(A41,'Estado SCI'!$A$16:$L$59,12,0)</f>
        <v>120.85123455999999</v>
      </c>
      <c r="H41" s="147">
        <f t="shared" si="0"/>
        <v>40</v>
      </c>
      <c r="I41" s="147" t="str">
        <f>+IF(VLOOKUP(A41,'Estado SCI'!$A$16:$G$59,7,0)="","",VLOOKUP(A41,'Estado SCI'!$A$16:$G$59,7,0))</f>
        <v>Si</v>
      </c>
      <c r="J41" s="148">
        <f t="shared" si="2"/>
        <v>1</v>
      </c>
      <c r="K41" s="149">
        <f t="shared" si="1"/>
        <v>1</v>
      </c>
    </row>
    <row r="42" spans="1:11" x14ac:dyDescent="0.25">
      <c r="A42" s="147" t="s">
        <v>186</v>
      </c>
      <c r="B42" s="147" t="s">
        <v>96</v>
      </c>
      <c r="C42" s="147" t="s">
        <v>72</v>
      </c>
      <c r="D42" s="147" t="s">
        <v>36</v>
      </c>
      <c r="E42" s="147" t="s">
        <v>108</v>
      </c>
      <c r="F42" s="147" t="str">
        <f>+VLOOKUP(A42,'Estado SCI'!$A$16:$I$59,9,0)</f>
        <v>Mantenimiento del control</v>
      </c>
      <c r="G42" s="147">
        <f>+VLOOKUP(A42,'Estado SCI'!$A$16:$L$59,12,0)</f>
        <v>120.85123456700001</v>
      </c>
      <c r="H42" s="147">
        <f t="shared" si="0"/>
        <v>41</v>
      </c>
      <c r="I42" s="147" t="str">
        <f>+IF(VLOOKUP(A42,'Estado SCI'!$A$16:$G$59,7,0)="","",VLOOKUP(A42,'Estado SCI'!$A$16:$G$59,7,0))</f>
        <v>Si</v>
      </c>
      <c r="J42" s="148">
        <f t="shared" si="2"/>
        <v>1</v>
      </c>
      <c r="K42" s="149">
        <f t="shared" si="1"/>
        <v>1</v>
      </c>
    </row>
    <row r="43" spans="1:11" x14ac:dyDescent="0.25">
      <c r="A43" s="147" t="s">
        <v>187</v>
      </c>
      <c r="B43" s="147" t="s">
        <v>96</v>
      </c>
      <c r="C43" s="147" t="s">
        <v>72</v>
      </c>
      <c r="D43" s="147" t="s">
        <v>39</v>
      </c>
      <c r="E43" s="147" t="s">
        <v>109</v>
      </c>
      <c r="F43" s="147" t="str">
        <f>+VLOOKUP(A43,'Estado SCI'!$A$16:$I$59,9,0)</f>
        <v>Mantenimiento del control</v>
      </c>
      <c r="G43" s="147">
        <f>+VLOOKUP(A43,'Estado SCI'!$A$16:$L$59,12,0)</f>
        <v>120.85123456780001</v>
      </c>
      <c r="H43" s="147">
        <f t="shared" si="0"/>
        <v>42</v>
      </c>
      <c r="I43" s="147" t="str">
        <f>+IF(VLOOKUP(A43,'Estado SCI'!$A$16:$G$59,7,0)="","",VLOOKUP(A43,'Estado SCI'!$A$16:$G$59,7,0))</f>
        <v>Si</v>
      </c>
      <c r="J43" s="148">
        <f t="shared" si="2"/>
        <v>1</v>
      </c>
      <c r="K43" s="149">
        <f t="shared" si="1"/>
        <v>1</v>
      </c>
    </row>
    <row r="44" spans="1:11" x14ac:dyDescent="0.25">
      <c r="A44" s="147" t="s">
        <v>188</v>
      </c>
      <c r="B44" s="147" t="s">
        <v>96</v>
      </c>
      <c r="C44" s="147" t="s">
        <v>72</v>
      </c>
      <c r="D44" s="147" t="s">
        <v>41</v>
      </c>
      <c r="E44" s="147" t="s">
        <v>110</v>
      </c>
      <c r="F44" s="147" t="str">
        <f>+VLOOKUP(A44,'Estado SCI'!$A$16:$I$59,9,0)</f>
        <v>Mantenimiento del control</v>
      </c>
      <c r="G44" s="147">
        <f>+VLOOKUP(A44,'Estado SCI'!$A$16:$L$59,12,0)</f>
        <v>120.85123456789</v>
      </c>
      <c r="H44" s="147">
        <f t="shared" si="0"/>
        <v>43</v>
      </c>
      <c r="I44" s="147" t="str">
        <f>+IF(VLOOKUP(A44,'Estado SCI'!$A$16:$G$59,7,0)="","",VLOOKUP(A44,'Estado SCI'!$A$16:$G$59,7,0))</f>
        <v>Si</v>
      </c>
      <c r="J44" s="148">
        <f t="shared" si="2"/>
        <v>1</v>
      </c>
      <c r="K44" s="149">
        <f t="shared" si="1"/>
        <v>1</v>
      </c>
    </row>
    <row r="45" spans="1:11" x14ac:dyDescent="0.25">
      <c r="A45" s="147" t="s">
        <v>189</v>
      </c>
      <c r="B45" s="147" t="s">
        <v>96</v>
      </c>
      <c r="C45" s="147" t="s">
        <v>72</v>
      </c>
      <c r="D45" s="147" t="s">
        <v>43</v>
      </c>
      <c r="E45" s="147" t="s">
        <v>111</v>
      </c>
      <c r="F45" s="147" t="str">
        <f>+VLOOKUP(A45,'Estado SCI'!$A$16:$I$59,9,0)</f>
        <v>Mantenimiento del control</v>
      </c>
      <c r="G45" s="147">
        <f>+VLOOKUP(A45,'Estado SCI'!$A$16:$L$59,12,0)</f>
        <v>120.851234567891</v>
      </c>
      <c r="H45" s="147">
        <f t="shared" si="0"/>
        <v>44</v>
      </c>
      <c r="I45" s="147" t="str">
        <f>+IF(VLOOKUP(A45,'Estado SCI'!$A$16:$G$59,7,0)="","",VLOOKUP(A45,'Estado SCI'!$A$16:$G$59,7,0))</f>
        <v>Si</v>
      </c>
      <c r="J45" s="148">
        <f t="shared" si="2"/>
        <v>1</v>
      </c>
      <c r="K45" s="149">
        <f t="shared" si="1"/>
        <v>1</v>
      </c>
    </row>
  </sheetData>
  <sheetProtection algorithmName="SHA-512" hashValue="eXgkKlTi9xJKAI7t6Aeb2RaFpkfyF43pI2BIhtxDc7hsl0SqLK8I4Wc7jbZwC5kw3uyIHOBIUXRnh5cC70LKYA==" saltValue="AxKzX6Ar80vT7acQV8rFpQ==" spinCount="100000" sheet="1" objects="1" scenarios="1" selectLockedCells="1"/>
  <autoFilter ref="A1:K45" xr:uid="{00000000-0009-0000-0000-000004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Instructivo</vt:lpstr>
      <vt:lpstr>Estado SCI</vt:lpstr>
      <vt:lpstr>Análisis Resultados</vt:lpstr>
      <vt:lpstr>Conclusión</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Sala Juntas Piso 6</dc:creator>
  <cp:keywords/>
  <dc:description/>
  <cp:lastModifiedBy>CONTROL_INT</cp:lastModifiedBy>
  <cp:revision/>
  <cp:lastPrinted>2023-01-27T20:13:17Z</cp:lastPrinted>
  <dcterms:created xsi:type="dcterms:W3CDTF">2020-04-28T13:58:09Z</dcterms:created>
  <dcterms:modified xsi:type="dcterms:W3CDTF">2025-12-23T13:48:43Z</dcterms:modified>
  <cp:category/>
  <cp:contentStatus/>
</cp:coreProperties>
</file>